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66925"/>
  <xr:revisionPtr revIDLastSave="1030" documentId="8_{D825C1FC-6B76-4109-962B-1A094C872595}" xr6:coauthVersionLast="47" xr6:coauthVersionMax="47" xr10:uidLastSave="{6CFA788F-CF8E-4B65-A955-F1B2F2566D5D}"/>
  <bookViews>
    <workbookView xWindow="28680" yWindow="-120" windowWidth="29040" windowHeight="15720" xr2:uid="{00000000-000D-0000-FFFF-FFFF00000000}"/>
  </bookViews>
  <sheets>
    <sheet name="Zveřejněný návrh rozpočtu" sheetId="16" r:id="rId1"/>
    <sheet name="Návrh rozpočtu s dotacemi" sheetId="11" r:id="rId2"/>
    <sheet name="Konec roku 2025" sheetId="10" r:id="rId3"/>
    <sheet name="Projekty" sheetId="15" r:id="rId4"/>
    <sheet name="Dotace 2025" sheetId="7" r:id="rId5"/>
    <sheet name="Investice 2025" sheetId="4" r:id="rId6"/>
    <sheet name="PO" sheetId="12" r:id="rId7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1" l="1"/>
  <c r="F82" i="11"/>
  <c r="E19" i="10"/>
  <c r="E24" i="12"/>
  <c r="E23" i="12"/>
  <c r="E22" i="12"/>
  <c r="E16" i="12"/>
  <c r="D16" i="12"/>
  <c r="E20" i="12"/>
  <c r="D20" i="12"/>
  <c r="L18" i="10"/>
  <c r="E14" i="10"/>
  <c r="F78" i="11" l="1"/>
  <c r="G78" i="11"/>
  <c r="H78" i="11"/>
  <c r="F30" i="11"/>
  <c r="E30" i="11"/>
  <c r="D30" i="11"/>
  <c r="G69" i="11" l="1"/>
  <c r="G64" i="11"/>
  <c r="F7" i="11"/>
  <c r="G40" i="11" l="1"/>
  <c r="G53" i="11"/>
  <c r="G54" i="11"/>
  <c r="E82" i="11"/>
  <c r="F42" i="11"/>
  <c r="F43" i="11"/>
  <c r="F14" i="11"/>
  <c r="F13" i="11"/>
  <c r="F10" i="11"/>
  <c r="F9" i="11"/>
  <c r="F8" i="11"/>
  <c r="D81" i="11"/>
  <c r="E81" i="11"/>
  <c r="C81" i="11"/>
  <c r="D78" i="11"/>
  <c r="C78" i="11"/>
  <c r="E78" i="11"/>
  <c r="E80" i="11" l="1"/>
  <c r="D80" i="11"/>
  <c r="C8" i="11"/>
  <c r="C30" i="11" s="1"/>
  <c r="F81" i="11" l="1"/>
  <c r="F80" i="11"/>
  <c r="D82" i="11"/>
  <c r="C80" i="11"/>
  <c r="C82" i="11" s="1"/>
  <c r="E10" i="10"/>
  <c r="E16" i="10" l="1"/>
  <c r="E22" i="10" s="1"/>
  <c r="E24" i="10" s="1"/>
  <c r="G85" i="11"/>
  <c r="F20" i="7"/>
  <c r="F8" i="7"/>
  <c r="G8" i="7" l="1"/>
  <c r="G28" i="7"/>
  <c r="G25" i="7"/>
  <c r="F25" i="7"/>
  <c r="F15" i="7"/>
  <c r="F16" i="7" s="1"/>
  <c r="G12" i="7"/>
  <c r="G11" i="7"/>
  <c r="G19" i="7"/>
  <c r="G16" i="7" l="1"/>
  <c r="G20" i="7"/>
  <c r="D112" i="4"/>
  <c r="D38" i="4"/>
  <c r="E110" i="4"/>
  <c r="D75" i="4"/>
  <c r="D78" i="4" s="1"/>
  <c r="D100" i="4"/>
  <c r="E111" i="4"/>
  <c r="D35" i="4"/>
  <c r="E109" i="4"/>
  <c r="D83" i="4"/>
  <c r="D72" i="4"/>
  <c r="D46" i="4"/>
  <c r="D17" i="4"/>
  <c r="D26" i="4"/>
  <c r="D10" i="4"/>
  <c r="D5" i="4"/>
  <c r="D63" i="4"/>
  <c r="D62" i="4"/>
  <c r="D61" i="4"/>
  <c r="D60" i="4"/>
  <c r="D59" i="4"/>
  <c r="D65" i="4"/>
  <c r="D64" i="4"/>
  <c r="D103" i="4"/>
  <c r="D106" i="4" s="1"/>
  <c r="G27" i="7" l="1"/>
  <c r="G87" i="11" s="1"/>
  <c r="G88" i="11" s="1"/>
  <c r="D113" i="4"/>
  <c r="D86" i="4" l="1"/>
  <c r="D95" i="4" l="1"/>
  <c r="D110" i="4"/>
  <c r="D66" i="4" l="1"/>
  <c r="D68" i="4" l="1"/>
  <c r="D109" i="4" s="1"/>
  <c r="D111" i="4"/>
  <c r="D1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tc={BC165ABD-E5BA-481B-B914-7120C0D59DE8}</author>
    <author>tc={EF780878-B3A2-4188-8D9C-ACEBB6715C16}</author>
    <author>tc={8D07E29E-6EB4-4759-8401-84D6AE9CBDA4}</author>
    <author>tc={25C11BDC-5C06-4119-9EB6-FA9BB3D5D4D1}</author>
    <author>tc={6CAAA016-9876-4E76-A4A7-8904AFDC637A}</author>
    <author>tc={EAE771F3-0F80-4A97-9E3C-769AEC970065}</author>
    <author>tc={18A3D592-04D9-45C4-9344-F885540D3490}</author>
    <author>tc={04F9885C-8476-4DF2-BA5E-498C36FEA732}</author>
    <author>tc={19FA4C70-4470-468C-8DB6-49F8D1A67473}</author>
    <author>tc={1D3914E7-D52A-4417-8B9E-A9F98469ECA8}</author>
    <author>tc={4D712712-7814-4DC0-B483-2D4B0C5018EA}</author>
    <author>tc={4FA06C2B-A97B-454A-A0BA-F3C4EBCD2904}</author>
    <author>tc={93E7C6ED-64A5-40AA-A3E8-1E61699AD0A2}</author>
    <author>tc={EB215F36-0CBD-481A-9F81-61710580726D}</author>
    <author>tc={6E1AD939-A520-48CE-AAC8-08166B7FD0E9}</author>
    <author>tc={18EE17E6-7C07-4798-8CD9-60A25BCD4C65}</author>
    <author>tc={8133E979-9937-4282-82C1-07C6E1B0014A}</author>
    <author>tc={8AEA7362-25DD-40EB-9527-9A81C75D70C1}</author>
    <author>tc={BCC7D9F4-59B7-45AA-9943-9CF3CADE182B}</author>
    <author>tc={8CE6B0AA-FAB2-44A8-ADA5-A0A7CFF278DC}</author>
    <author>tc={69A1A290-A819-4DE3-B6B9-7B767AB97C30}</author>
    <author>tc={79BDAF47-1020-4AE9-A2D3-E9F28C2F73F6}</author>
    <author>tc={5CB4F3A6-E881-4AE6-8ED2-071A4C9ED1F1}</author>
    <author>tc={4B494323-B869-4591-9E35-8A5EFEE37A1F}</author>
    <author>tc={F5CFBF0C-770A-4431-A852-CA85020AE91B}</author>
    <author>tc={8E5BC639-6672-4D37-966B-256FF007C261}</author>
    <author>tc={7BCEB7D2-C6B9-4611-BEAD-7BEF14AE00A7}</author>
    <author>tc={BD9EB11F-EC21-4024-8B86-73610F7AA8E9}</author>
    <author>tc={F5B46D81-C3A6-4DA9-BA62-BEF1BCF7765B}</author>
    <author>tc={A22AB150-264D-46D9-989A-EB15DE8C4D1F}</author>
    <author>tc={8089CBB5-1D6B-44FB-869E-9652E47C248B}</author>
    <author>tc={CA1A352B-EE45-4082-8832-96F722A0E0EA}</author>
    <author>tc={944AE8EB-3EC8-438E-BF79-6E26EBC5DBAE}</author>
    <author>tc={33D7C913-EA57-4B4D-AD8A-5CFD3DB27376}</author>
    <author>tc={FAA5954B-2B93-4B36-BF79-3FDB1EC6483A}</author>
    <author>tc={AD45B7E5-360E-479E-BC2C-3412B4BE2AB2}</author>
    <author>tc={BA642D4A-9A97-4E1D-884E-02AEE031592B}</author>
    <author>tc={F3E31651-3B48-4925-AC5D-23B8F000A86A}</author>
    <author>tc={C2AC6B0F-4725-4A5D-B261-44EF5C99254F}</author>
    <author>tc={41F25701-C4CF-4412-B553-6651046EABAA}</author>
    <author>tc={FCA83518-6120-4298-81F0-AEB1EBDF7951}</author>
    <author>tc={7EB8C97C-6C4D-4FAC-92D9-F76D70784F0B}</author>
    <author>tc={B03332F5-2825-4CB2-999E-123DB3311D30}</author>
    <author>tc={AE8E0761-BB0C-4173-ADEC-D539B9A1E428}</author>
    <author>tc={8C227B0F-0868-4A57-8DB8-35F7B0CF4C08}</author>
    <author>tc={8FBE0EF9-3BDB-4213-BAE6-623E04D6379E}</author>
    <author>tc={779C14D4-B818-48A4-97E5-155F8051E5CE}</author>
    <author>tc={B810AE61-01F8-47B8-8E10-0589B1273FDB}</author>
    <author>tc={E0596825-B080-4203-A0F4-7A07122F57A3}</author>
    <author>tc={5E9D9E0C-10F1-4E40-A86C-B469CF5C932C}</author>
    <author>tc={5EA42A20-B5B4-4D9A-878F-6996DC6BA2F0}</author>
    <author>tc={014FD1A1-CDEA-4E57-9850-235BB173D9A2}</author>
    <author>tc={A4655AC9-3404-47CD-9037-01EB0668EF94}</author>
    <author>tc={A9EA5482-2DC2-48A8-9874-43295A8D3199}</author>
    <author>tc={D497FFBD-DACC-4E40-82EF-7ED9605D5A1F}</author>
    <author>tc={F06346F6-C37B-4B30-8A2A-1EE320CF9E6D}</author>
    <author>tc={E83FD22E-7ABC-4EA3-B5A6-70344B3D2E90}</author>
    <author>tc={67BC0059-FDE7-4AC0-8A10-02E3F8284A24}</author>
    <author>tc={9460FDFF-9A95-41DD-A057-88ABC4CA103B}</author>
    <author>tc={DF658376-4BDE-408C-B99B-730062BE1E5B}</author>
  </authors>
  <commentList>
    <comment ref="C7" authorId="0" shapeId="0" xr:uid="{BC165ABD-E5BA-481B-B914-7120C0D59DE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Daňové příjmy, dotace apod. </t>
      </text>
    </comment>
    <comment ref="C8" authorId="1" shapeId="0" xr:uid="{EF780878-B3A2-4188-8D9C-ACEBB6715C1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 </t>
      </text>
    </comment>
    <comment ref="C9" authorId="2" shapeId="0" xr:uid="{8D07E29E-6EB4-4759-8401-84D6AE9CBDA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 1.VHS - dle kalkulace.</t>
      </text>
    </comment>
    <comment ref="C10" authorId="3" shapeId="0" xr:uid="{25C11BDC-5C06-4119-9EB6-FA9BB3D5D4D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rybník Pod Panskou</t>
      </text>
    </comment>
    <comment ref="E11" authorId="4" shapeId="0" xr:uid="{6CAAA016-9876-4E76-A4A7-8904AFDC637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E12" authorId="5" shapeId="0" xr:uid="{EAE771F3-0F80-4A97-9E3C-769AEC97006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Pojistná plnění.</t>
      </text>
    </comment>
    <comment ref="C13" authorId="6" shapeId="0" xr:uid="{18A3D592-04D9-45C4-9344-F885540D34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Univerzita 3. věku.</t>
      </text>
    </comment>
    <comment ref="C15" authorId="7" shapeId="0" xr:uid="{04F9885C-8476-4DF2-BA5E-498C36FEA73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Sportovní areál "Koupaliště"</t>
      </text>
    </comment>
    <comment ref="C16" authorId="8" shapeId="0" xr:uid="{19FA4C70-4470-468C-8DB6-49F8D1A6747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Nájmy č.p. 68 a zálohy.</t>
      </text>
    </comment>
    <comment ref="E17" authorId="9" shapeId="0" xr:uid="{1D3914E7-D52A-4417-8B9E-A9F98469ECA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Školní kuchyně - nájem</t>
      </text>
    </comment>
    <comment ref="F17" authorId="10" shapeId="0" xr:uid="{4D712712-7814-4DC0-B483-2D4B0C5018E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Pronájem školní kuchyně.</t>
      </text>
    </comment>
    <comment ref="E18" authorId="11" shapeId="0" xr:uid="{4FA06C2B-A97B-454A-A0BA-F3C4EBCD290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plnění. </t>
      </text>
    </comment>
    <comment ref="C19" authorId="12" shapeId="0" xr:uid="{93E7C6ED-64A5-40AA-A3E8-1E61699AD0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jsou věcná břemena. Nedokážeme predikovat. </t>
      </text>
    </comment>
    <comment ref="C20" authorId="13" shapeId="0" xr:uid="{EB215F36-0CBD-481A-9F81-61710580726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 občanům. </t>
      </text>
    </comment>
    <comment ref="C22" authorId="14" shapeId="0" xr:uid="{6E1AD939-A520-48CE-AAC8-08166B7FD0E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EkoKom. 
Snížen dle reálných hodnot. Pokud bude zavedeno zálohování plastových lahví, změní se.      </t>
      </text>
    </comment>
    <comment ref="C23" authorId="15" shapeId="0" xr:uid="{18EE17E6-7C07-4798-8CD9-60A25BCD4C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Příspěvek na pronájem popelnic na bioodpad. </t>
      </text>
    </comment>
    <comment ref="E24" authorId="16" shapeId="0" xr:uid="{8133E979-9937-4282-82C1-07C6E1B0014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Pokuta ZPF</t>
      </text>
    </comment>
    <comment ref="E25" authorId="17" shapeId="0" xr:uid="{8AEA7362-25DD-40EB-9527-9A81C75D70C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Pojistné plnění</t>
      </text>
    </comment>
    <comment ref="C26" authorId="18" shapeId="0" xr:uid="{BCC7D9F4-59B7-45AA-9943-9CF3CADE182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Nájemné Cetin, Česká pošta, prodej knih apod. </t>
      </text>
    </comment>
    <comment ref="E26" authorId="19" shapeId="0" xr:uid="{8CE6B0AA-FAB2-44A8-ADA5-A0A7CFF278D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Přefakturace energií. </t>
      </text>
    </comment>
    <comment ref="C27" authorId="20" shapeId="0" xr:uid="{69A1A290-A819-4DE3-B6B9-7B767AB97C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Humanitární činnost nepředpokládáme.</t>
      </text>
    </comment>
    <comment ref="C34" authorId="21" shapeId="0" xr:uid="{79BDAF47-1020-4AE9-A2D3-E9F28C2F73F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Kastrace koček.</t>
      </text>
    </comment>
    <comment ref="F35" authorId="22" shapeId="0" xr:uid="{5CB4F3A6-E881-4AE6-8ED2-071A4C9ED1F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Opravy silnic. 
</t>
      </text>
    </comment>
    <comment ref="F36" authorId="23" shapeId="0" xr:uid="{4B494323-B869-4591-9E35-8A5EFEE37A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4křižovatka</t>
      </text>
    </comment>
    <comment ref="F38" authorId="24" shapeId="0" xr:uid="{F5CFBF0C-770A-4431-A852-CA85020AE91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Platba za veřejnou dopravu. 111 536,- za rok 2025</t>
      </text>
    </comment>
    <comment ref="F39" authorId="25" shapeId="0" xr:uid="{8E5BC639-6672-4D37-966B-256FF007C26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Vodné+drobné opravy</t>
      </text>
    </comment>
    <comment ref="C40" authorId="26" shapeId="0" xr:uid="{7BCEB7D2-C6B9-4611-BEAD-7BEF14AE00A7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Kanálové vpusti, čistírna odpadních vod, stočné obce. 
</t>
      </text>
    </comment>
    <comment ref="F40" authorId="27" shapeId="0" xr:uid="{BD9EB11F-EC21-4024-8B86-73610F7AA8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Stočné + drobné opravy</t>
      </text>
    </comment>
    <comment ref="F41" authorId="28" shapeId="0" xr:uid="{F5B46D81-C3A6-4DA9-BA62-BEF1BCF776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Česla rybník</t>
      </text>
    </comment>
    <comment ref="F42" authorId="29" shapeId="0" xr:uid="{A22AB150-264D-46D9-989A-EB15DE8C4D1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MŠ</t>
      </text>
    </comment>
    <comment ref="F43" authorId="30" shapeId="0" xr:uid="{8089CBB5-1D6B-44FB-869E-9652E47C248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Požadavek ZŠ do rozpočtu
</t>
      </text>
    </comment>
    <comment ref="C45" authorId="31" shapeId="0" xr:uid="{CA1A352B-EE45-4082-8832-96F722A0E0E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Virtuální univerzita 3. věku.
</t>
      </text>
    </comment>
    <comment ref="C46" authorId="32" shapeId="0" xr:uid="{944AE8EB-3EC8-438E-BF79-6E26EBC5DBA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48" authorId="33" shapeId="0" xr:uid="{33D7C913-EA57-4B4D-AD8A-5CFD3DB2737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Vydávání Středoklucké Střely.</t>
      </text>
    </comment>
    <comment ref="C49" authorId="34" shapeId="0" xr:uid="{FAA5954B-2B93-4B36-BF79-3FDB1EC6483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0" authorId="35" shapeId="0" xr:uid="{AD45B7E5-360E-479E-BC2C-3412B4BE2A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Fotbalové hřiště.</t>
      </text>
    </comment>
    <comment ref="C51" authorId="36" shapeId="0" xr:uid="{BA642D4A-9A97-4E1D-884E-02AEE031592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2" authorId="37" shapeId="0" xr:uid="{F3E31651-3B48-4925-AC5D-23B8F000A86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Dotace spolkům a akce obce. </t>
      </text>
    </comment>
    <comment ref="C53" authorId="38" shapeId="0" xr:uid="{C2AC6B0F-4725-4A5D-B261-44EF5C992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Sportovní areál koupaliště</t>
      </text>
    </comment>
    <comment ref="F53" authorId="39" shapeId="0" xr:uid="{41F25701-C4CF-4412-B553-6651046EABAA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Spolky a rezerva. </t>
      </text>
    </comment>
    <comment ref="C54" authorId="40" shapeId="0" xr:uid="{FCA83518-6120-4298-81F0-AEB1EBDF7951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Pronájmy z bytového domu. Jsou zde také platby za energie. </t>
      </text>
    </comment>
    <comment ref="C56" authorId="41" shapeId="0" xr:uid="{7EB8C97C-6C4D-4FAC-92D9-F76D70784F0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350 tisíc Kč na elektřinu
4 620 000 Kč na výstavbu veřejného osvěltení
</t>
      </text>
    </comment>
    <comment ref="F56" authorId="42" shapeId="0" xr:uid="{B03332F5-2825-4CB2-999E-123DB3311D3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3900 tis. Kč investice + projekce, 800 tisíc provoz a opravy</t>
      </text>
    </comment>
    <comment ref="F57" authorId="43" shapeId="0" xr:uid="{AE8E0761-BB0C-4173-ADEC-D539B9A1E42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ÚP č. 2</t>
      </text>
    </comment>
    <comment ref="F58" authorId="44" shapeId="0" xr:uid="{8C227B0F-0868-4A57-8DB8-35F7B0CF4C08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Územní studie </t>
      </text>
    </comment>
    <comment ref="C59" authorId="45" shapeId="0" xr:uid="{8FBE0EF9-3BDB-4213-BAE6-623E04D6379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Prodej popelnice.</t>
      </text>
    </comment>
    <comment ref="C60" authorId="46" shapeId="0" xr:uid="{779C14D4-B818-48A4-97E5-155F8051E5C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různých druhů odpadů. 
</t>
      </text>
    </comment>
    <comment ref="C61" authorId="47" shapeId="0" xr:uid="{B810AE61-01F8-47B8-8E10-0589B1273FD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komunálního odpadu vč. velkoobjemu. </t>
      </text>
    </comment>
    <comment ref="C62" authorId="48" shapeId="0" xr:uid="{E0596825-B080-4203-A0F4-7A07122F57A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tříděného odpadu. </t>
      </text>
    </comment>
    <comment ref="F62" authorId="49" shapeId="0" xr:uid="{5E9D9E0C-10F1-4E40-A86C-B469CF5C932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Odpadový systém - VZ, nastavení</t>
      </text>
    </comment>
    <comment ref="C63" authorId="50" shapeId="0" xr:uid="{5EA42A20-B5B4-4D9A-878F-6996DC6BA2F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Svoz bioodpadu.
</t>
      </text>
    </comment>
    <comment ref="C64" authorId="51" shapeId="0" xr:uid="{014FD1A1-CDEA-4E57-9850-235BB173D9A2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Pracovní četa - 4 lidi + peníze na údržbu zeleně. 
</t>
      </text>
    </comment>
    <comment ref="C66" authorId="52" shapeId="0" xr:uid="{A4655AC9-3404-47CD-9037-01EB0668EF9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Žádala DPS Buštěhrad o dar. Dřív se připlácelo, aby přijeli. Dnes neplatíme nic. </t>
      </text>
    </comment>
    <comment ref="F67" authorId="53" shapeId="0" xr:uid="{A9EA5482-2DC2-48A8-9874-43295A8D3199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Dílčí revize.
</t>
      </text>
    </comment>
    <comment ref="C68" authorId="54" shapeId="0" xr:uid="{D497FFBD-DACC-4E40-82EF-7ED9605D5A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Toto musí být v rozpočtu ze zákona. </t>
      </text>
    </comment>
    <comment ref="C70" authorId="55" shapeId="0" xr:uid="{F06346F6-C37B-4B30-8A2A-1EE320CF9E6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 starosty (udávaný nařízením vlády), plat místostarostů a odměny zastupitelům. 
</t>
      </text>
    </comment>
    <comment ref="F70" authorId="56" shapeId="0" xr:uid="{E83FD22E-7ABC-4EA3-B5A6-70344B3D2E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Starosta + 2 místostarostové á 15 tisíc Kč +zastupitelé + daně</t>
      </text>
    </comment>
    <comment ref="C73" authorId="57" shapeId="0" xr:uid="{67BC0059-FDE7-4AC0-8A10-02E3F8284A24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Činnost úřadu včetně různých poradců, úklidu úřadu, energií na úřad, zaměstnanců úřadu vč. správce majetku. 
2,666 milionu na nákup střední školy. </t>
      </text>
    </comment>
    <comment ref="F73" authorId="58" shapeId="0" xr:uid="{9460FDFF-9A95-41DD-A057-88ABC4CA103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Provoz obecního úřadu včetně externích služeb, energií a také 2,5 mil. Kč za Areál KŠ
</t>
      </text>
    </comment>
    <comment ref="C75" authorId="59" shapeId="0" xr:uid="{DF658376-4BDE-408C-B99B-730062BE1E5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Pojištění obce vč. ZŠ a MŠ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tc={5956F242-E12A-4FF8-8232-6E318CB39F1F}</author>
  </authors>
  <commentList>
    <comment ref="E18" authorId="0" shapeId="0" xr:uid="{5956F242-E12A-4FF8-8232-6E318CB39F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 základě září 2024. </t>
      </text>
    </comment>
  </commentList>
</comments>
</file>

<file path=xl/sharedStrings.xml><?xml version="1.0" encoding="utf-8"?>
<sst xmlns="http://schemas.openxmlformats.org/spreadsheetml/2006/main" count="564" uniqueCount="354">
  <si>
    <t>Ostatní záležitosti pozemních komunikací</t>
  </si>
  <si>
    <t>Pitná voda</t>
  </si>
  <si>
    <t>Odvádění a čistění odpadních vod a nakládání s kaly</t>
  </si>
  <si>
    <t>Bytové hospodářství</t>
  </si>
  <si>
    <t>Péče o vzhled obcí a veřejnou zeleň</t>
  </si>
  <si>
    <t>Činnost místní správy</t>
  </si>
  <si>
    <t>Silnice</t>
  </si>
  <si>
    <t>Základní školy</t>
  </si>
  <si>
    <t>Územní plánování</t>
  </si>
  <si>
    <t>Územní rozvoj</t>
  </si>
  <si>
    <t>Sběr a svoz ostatních odpadů jiných než nebezpečných a komunálních</t>
  </si>
  <si>
    <t>Požární ochrana - dobrovolná část</t>
  </si>
  <si>
    <t>Paragraf</t>
  </si>
  <si>
    <t>Celkem</t>
  </si>
  <si>
    <t>Odhad</t>
  </si>
  <si>
    <t>Lidická chodníky - 4křižovatka</t>
  </si>
  <si>
    <t>Kanálové vpusti</t>
  </si>
  <si>
    <t>Strategie školy</t>
  </si>
  <si>
    <t>Veřejné osvětlení a sítě</t>
  </si>
  <si>
    <t>Projekce</t>
  </si>
  <si>
    <t>VO Černovičky</t>
  </si>
  <si>
    <t>5+svítidel</t>
  </si>
  <si>
    <t>VO Lidická - Školská</t>
  </si>
  <si>
    <t>11+svítidel</t>
  </si>
  <si>
    <t>VO Starý vrch</t>
  </si>
  <si>
    <t>7+</t>
  </si>
  <si>
    <t>VO Lidická - dole</t>
  </si>
  <si>
    <t>5+</t>
  </si>
  <si>
    <t>VO náves u Ouválky 1</t>
  </si>
  <si>
    <t>4+</t>
  </si>
  <si>
    <t>VO náves u Ouválky 2</t>
  </si>
  <si>
    <t>VO Parcely</t>
  </si>
  <si>
    <t>6+</t>
  </si>
  <si>
    <t>Nasvícení kostela</t>
  </si>
  <si>
    <t>Realizace</t>
  </si>
  <si>
    <t>Cena jako odhad</t>
  </si>
  <si>
    <t>Výkopy 1500 m</t>
  </si>
  <si>
    <t>Územní studie "Rekreace"</t>
  </si>
  <si>
    <t>Další možné výdaje:</t>
  </si>
  <si>
    <t>Radar Lidická (k zastávkám)</t>
  </si>
  <si>
    <t>Kamerový systém</t>
  </si>
  <si>
    <t>Rozhlas</t>
  </si>
  <si>
    <t>Pasport budov</t>
  </si>
  <si>
    <t>schváleno</t>
  </si>
  <si>
    <t>Podané žádosti</t>
  </si>
  <si>
    <t>Modernizační fond - FV ČOV</t>
  </si>
  <si>
    <t>Generel vodovodu a kanalizace</t>
  </si>
  <si>
    <t>Výměna vodoměrů s prošlým cejchem</t>
  </si>
  <si>
    <t>2. změna ÚP</t>
  </si>
  <si>
    <t>Odborné učebny</t>
  </si>
  <si>
    <t>Akustické stropy, elektro, podlahy, úpravy 101,102,103,104</t>
  </si>
  <si>
    <t>Učebny 105</t>
  </si>
  <si>
    <t>Učebna 204</t>
  </si>
  <si>
    <t>Učebny 82</t>
  </si>
  <si>
    <t>VO náves u Ouválky 2 + ulice ke Kinu</t>
  </si>
  <si>
    <t>spočítej, kolik bylo zaplaceno</t>
  </si>
  <si>
    <t>Centra obce Středokluky B+C - projekce</t>
  </si>
  <si>
    <t>Centra obce A - projekce</t>
  </si>
  <si>
    <t>Centra obce B - realizace</t>
  </si>
  <si>
    <t>Centra obce C - realizace</t>
  </si>
  <si>
    <t>Rekonstrukce bytu č. 13</t>
  </si>
  <si>
    <t>Rekonstrukce půdy</t>
  </si>
  <si>
    <t>Projekce rekonstrukce budovy (zateplení, energie, vnitřní prostory atd.)</t>
  </si>
  <si>
    <t>Odpadový systém</t>
  </si>
  <si>
    <t>Nákup nádob na tříděný odpad</t>
  </si>
  <si>
    <t>Školní kuchyně - projekt rekonstrukce</t>
  </si>
  <si>
    <t xml:space="preserve">Zabezpečení a vstupy </t>
  </si>
  <si>
    <t>Rekonstrukce komunikace Na Parcelách - projekt</t>
  </si>
  <si>
    <t>Studie veřejná prostranství Černovičky</t>
  </si>
  <si>
    <t>Studie Starý vrch</t>
  </si>
  <si>
    <t xml:space="preserve">Energetická koncepce obce </t>
  </si>
  <si>
    <t>Stoupačky č.p. 68</t>
  </si>
  <si>
    <t>Studie Černovičky - vodovod a kanalizace</t>
  </si>
  <si>
    <t>Obnova soch</t>
  </si>
  <si>
    <t>Hasičská zbrojnice</t>
  </si>
  <si>
    <t xml:space="preserve">Projekt zastávek u benzínky </t>
  </si>
  <si>
    <t>Komunikace Nové Středokluky</t>
  </si>
  <si>
    <t>Komunikace Pod Sedličkami</t>
  </si>
  <si>
    <t>Komunikace Na Ovčíně</t>
  </si>
  <si>
    <t xml:space="preserve">Bude požádáno o dotaci. </t>
  </si>
  <si>
    <t>Rekreace - mobiliář</t>
  </si>
  <si>
    <t>Vrata + předprostor č.p. 117 + Výstražná světla v křižovatce</t>
  </si>
  <si>
    <t>Fotovoltaika</t>
  </si>
  <si>
    <t>Fotovoltaika ČOV</t>
  </si>
  <si>
    <t>Poznámka</t>
  </si>
  <si>
    <t>Investice celkem</t>
  </si>
  <si>
    <t>Starý vrch 102 odvlhčení do ulice</t>
  </si>
  <si>
    <t>Investice</t>
  </si>
  <si>
    <t>Dotace+dary</t>
  </si>
  <si>
    <t>Možná dotace/financování</t>
  </si>
  <si>
    <t>Dovybavení vozidla</t>
  </si>
  <si>
    <t>Údržba okolí silnice na Černovičky</t>
  </si>
  <si>
    <t>Obnova Tereziánské aleje</t>
  </si>
  <si>
    <t xml:space="preserve"> </t>
  </si>
  <si>
    <t>Projekce mostek - Rekreace + vpusť do rybníka</t>
  </si>
  <si>
    <t>Zřídit monitorink předávacího místa pro Středokluky a Běloky</t>
  </si>
  <si>
    <t>Úprava velikosti nádoby odsazené vody z kalojemu a zřízení 2. odtoku</t>
  </si>
  <si>
    <t>VO Lidická - dole - 4 křižovatka</t>
  </si>
  <si>
    <t>Výměna navrtávacího pasu domovní přípojky</t>
  </si>
  <si>
    <t>Rekonstrukce ČSOV Lidická vč. projektu</t>
  </si>
  <si>
    <t>Územní studie Průmysl</t>
  </si>
  <si>
    <t>Územní studie Devaterky</t>
  </si>
  <si>
    <t>Investice, které jsou zasmluvněné</t>
  </si>
  <si>
    <t>Investice, které bude obec muset realizovat</t>
  </si>
  <si>
    <t>Investice, které je vhodné realizovat</t>
  </si>
  <si>
    <t>Investice, které počkají</t>
  </si>
  <si>
    <t>Areál Kubrovy školy - splátka</t>
  </si>
  <si>
    <t>SZIF - mobiliář "Rekreace"</t>
  </si>
  <si>
    <t>SZIF - vybavení jídelny a skladu</t>
  </si>
  <si>
    <t>Kontrola</t>
  </si>
  <si>
    <t>Spoluúčast obce Běloky</t>
  </si>
  <si>
    <t xml:space="preserve">Upravený návrh ředitele z května 2024,  bude předložen nový investiční plán. </t>
  </si>
  <si>
    <t>platba za poslední fázi</t>
  </si>
  <si>
    <t>Auto četě</t>
  </si>
  <si>
    <t>Nakladač</t>
  </si>
  <si>
    <t>Zřídit předávací místo - vodoměrnou šachtu pro Běloky</t>
  </si>
  <si>
    <t>Vybavení jídelny a skladu</t>
  </si>
  <si>
    <t>VO Nad Běloky</t>
  </si>
  <si>
    <t xml:space="preserve">Poznámka: Dotace neschválené nesmí být zapsané v příjmech, proto některé nejsou ani ve výdajích a investicích. </t>
  </si>
  <si>
    <t>????</t>
  </si>
  <si>
    <t>Pozemek u nádraží</t>
  </si>
  <si>
    <t>Nebylo v rozpočtu</t>
  </si>
  <si>
    <t>žaluzie</t>
  </si>
  <si>
    <t>schválená</t>
  </si>
  <si>
    <t>střed středokluk</t>
  </si>
  <si>
    <t>koupák</t>
  </si>
  <si>
    <t>hřiště</t>
  </si>
  <si>
    <t>videozvonky</t>
  </si>
  <si>
    <t>v přípavě</t>
  </si>
  <si>
    <t>VZ</t>
  </si>
  <si>
    <t>276 ks</t>
  </si>
  <si>
    <t>MZE - Vodoměry</t>
  </si>
  <si>
    <t>Dotace na státní správu</t>
  </si>
  <si>
    <t>IROP - 4křižovatka (Úpravy chodníků Lidická (U koupaliště a Starý vrch))</t>
  </si>
  <si>
    <t>6. výzva</t>
  </si>
  <si>
    <t>IROP - Prostranství u hasičárny (Veřejné prostranství u obecního servisu)</t>
  </si>
  <si>
    <t>8. výzva</t>
  </si>
  <si>
    <t>2. Výzva SP SZP</t>
  </si>
  <si>
    <t>SZIF - Avant (Nákup multifunkčního nakladače)</t>
  </si>
  <si>
    <t>SZIF - Střed Středokluk (Nákup mobiliáře Střed Středokluk)</t>
  </si>
  <si>
    <t>7. Výzva – IROP – HASIČI II.</t>
  </si>
  <si>
    <t>IROP - JSDH - vrata (Zrychlení výjezdu jednotky ze stanice)</t>
  </si>
  <si>
    <t>1 workout, 1 dětské hřiště, 6 laviček, 6 košů a 2 stojany na kola</t>
  </si>
  <si>
    <t>CRR</t>
  </si>
  <si>
    <t>SZIF</t>
  </si>
  <si>
    <t>MMR</t>
  </si>
  <si>
    <t>Letiště Praha - Biodiverzita - Černovičky</t>
  </si>
  <si>
    <t>vyplaceno</t>
  </si>
  <si>
    <t>Název</t>
  </si>
  <si>
    <t>1014</t>
  </si>
  <si>
    <t>Ozdravování hospodářských zvířat, polních a speciálních plodin a zvláštní veterinární péče</t>
  </si>
  <si>
    <t>2212</t>
  </si>
  <si>
    <t>2219</t>
  </si>
  <si>
    <t>2221</t>
  </si>
  <si>
    <t>Provoz veřejné silniční dopravy</t>
  </si>
  <si>
    <t>2292</t>
  </si>
  <si>
    <t>Dopravní obslužnost veřejnými službami - linková</t>
  </si>
  <si>
    <t>2310</t>
  </si>
  <si>
    <t>2321</t>
  </si>
  <si>
    <t>2341</t>
  </si>
  <si>
    <t>Vodní díla v zemědělské krajině</t>
  </si>
  <si>
    <t>3111</t>
  </si>
  <si>
    <t>Mateřské školy</t>
  </si>
  <si>
    <t>3113</t>
  </si>
  <si>
    <t>3299</t>
  </si>
  <si>
    <t>Ostatní záležitosti vzdělávání</t>
  </si>
  <si>
    <t>3319</t>
  </si>
  <si>
    <t>Ostatní záležitosti kultury</t>
  </si>
  <si>
    <t>3326</t>
  </si>
  <si>
    <t>Pořízení, zachování a obnova hodnot místního kulturního, národního a historického povědomí</t>
  </si>
  <si>
    <t>3349</t>
  </si>
  <si>
    <t>Ostatní záležitosti sdělovacích prostředků</t>
  </si>
  <si>
    <t>3399</t>
  </si>
  <si>
    <t>Ostatní záležitosti kultury, církví a sdělovacích prostředků</t>
  </si>
  <si>
    <t>3412</t>
  </si>
  <si>
    <t>Sportovní zařízení ve vlastnictví obce</t>
  </si>
  <si>
    <t>3419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</si>
  <si>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</si>
  <si>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</si>
  <si>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</si>
  <si>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</si>
  <si>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</si>
  <si>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3612</t>
  </si>
  <si>
    <t>3631</t>
  </si>
  <si>
    <t>Veřejné osvětlení</t>
  </si>
  <si>
    <t>3635</t>
  </si>
  <si>
    <t>3636</t>
  </si>
  <si>
    <t>3639</t>
  </si>
  <si>
    <t>Komunální služby a územní rozvoj jinde nezařazené</t>
  </si>
  <si>
    <t>3721</t>
  </si>
  <si>
    <t>Sběr a svoz nebezpečných odpadů</t>
  </si>
  <si>
    <t>3722</t>
  </si>
  <si>
    <t>Sběr a svoz komunálních odpadů</t>
  </si>
  <si>
    <t>3723</t>
  </si>
  <si>
    <t>3726</t>
  </si>
  <si>
    <t>Využívání a zneškodňování ostatních odpadů</t>
  </si>
  <si>
    <t>3745</t>
  </si>
  <si>
    <t>3749</t>
  </si>
  <si>
    <t>Ostatní činnosti k ochraně přírody a krajiny</t>
  </si>
  <si>
    <t>4351</t>
  </si>
  <si>
    <t>Osobní asistence, pečovatelská služba a podpora samostatného bydlení</t>
  </si>
  <si>
    <t>5213</t>
  </si>
  <si>
    <t>Krizová opatření</t>
  </si>
  <si>
    <t>5512</t>
  </si>
  <si>
    <t>6112</t>
  </si>
  <si>
    <t>Zastupitelstva obcí</t>
  </si>
  <si>
    <t>Volby do zastupitelstev územních samosprávních celků</t>
  </si>
  <si>
    <t>6171</t>
  </si>
  <si>
    <t>6221</t>
  </si>
  <si>
    <t>Humanitární zahraniční pomoc přímá</t>
  </si>
  <si>
    <t>6320</t>
  </si>
  <si>
    <t>Pojištění funkčně nespecifikované</t>
  </si>
  <si>
    <t>6409</t>
  </si>
  <si>
    <t>Ostatní činnosti jinde nezařazené</t>
  </si>
  <si>
    <t>Výdaje celkem:</t>
  </si>
  <si>
    <t>Stav účtu KB</t>
  </si>
  <si>
    <t>Stav účtu ČNB</t>
  </si>
  <si>
    <t>Úvěr</t>
  </si>
  <si>
    <t>Účty celkem</t>
  </si>
  <si>
    <t>Příjmy na cestě</t>
  </si>
  <si>
    <t xml:space="preserve">Letiště </t>
  </si>
  <si>
    <t>RUD do konce roku (viz vedle)</t>
  </si>
  <si>
    <t>Odhadované účty + příjmy</t>
  </si>
  <si>
    <t>Odhadované běžné výdaje</t>
  </si>
  <si>
    <t>Odhadovaný stav účtu na konci roku</t>
  </si>
  <si>
    <t>Výdaje</t>
  </si>
  <si>
    <t>Obec Středokluky, Lidická 61, Středokluky, IČO 00241695</t>
  </si>
  <si>
    <t>Třídění:</t>
  </si>
  <si>
    <t>Hodnoty v Kč.</t>
  </si>
  <si>
    <t>Bez paragrafu</t>
  </si>
  <si>
    <t>Nebytové hospodářství</t>
  </si>
  <si>
    <t>3729</t>
  </si>
  <si>
    <t>Ostatní nakládání s odpady</t>
  </si>
  <si>
    <t>Příjmy celkem:</t>
  </si>
  <si>
    <t>Příjmy</t>
  </si>
  <si>
    <t>Schodek rozpočtu</t>
  </si>
  <si>
    <t xml:space="preserve">Schodek rozpočtu bude vyrovnán přebytky minulých let. </t>
  </si>
  <si>
    <t>Zpracoval</t>
  </si>
  <si>
    <t>Jaroslav Paznocht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</si>
  <si>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</si>
  <si>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</si>
  <si>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</si>
  <si>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</si>
  <si>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</si>
  <si>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</si>
  <si>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</si>
  <si>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</si>
  <si>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</si>
  <si>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</si>
  <si>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</si>
  <si>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</si>
  <si>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</si>
  <si>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žluté jsou odhadované částky</t>
  </si>
  <si>
    <t>Odhadované investice (šachta a další nákupy)</t>
  </si>
  <si>
    <t>Převody vlastním fondům v rozpočtech územní úrovně</t>
  </si>
  <si>
    <t>Školní stravování</t>
  </si>
  <si>
    <t>Ostatní služby a činnosti v oblasti sociální prevence</t>
  </si>
  <si>
    <t>Volby do Parlamentu ČR</t>
  </si>
  <si>
    <t>Návrh rozpočtu obce Středokluky 2026 - Příjmy</t>
  </si>
  <si>
    <t>Návrh rozpočtu obce Středokluky 2026 - Výdaje</t>
  </si>
  <si>
    <t>Schválený rozpočet 2025</t>
  </si>
  <si>
    <t>Upravený rozpočet 2025</t>
  </si>
  <si>
    <t>Skutečnost 10/2025</t>
  </si>
  <si>
    <t>Návrh rozpočtu 2026</t>
  </si>
  <si>
    <t xml:space="preserve">Předpokádané daňové výnosy v roce 2026 dle kaluklačky. </t>
  </si>
  <si>
    <t>Nárůst díky změně RUD</t>
  </si>
  <si>
    <t>Kalkulačka RUD - Středokluky - 2026 | Poradna pro obce</t>
  </si>
  <si>
    <t xml:space="preserve">Zde dochází k odžití nákladů na investice. Max. 60 tisíc Kč. </t>
  </si>
  <si>
    <t xml:space="preserve">Zde záleží, jak budou placeny zálohy za energie. </t>
  </si>
  <si>
    <t xml:space="preserve">Pouze v případě pojisteného. </t>
  </si>
  <si>
    <t>Zde mohou nastat nárůsty v případě výměny plechových popelnic.</t>
  </si>
  <si>
    <t xml:space="preserve">Při zvýšení třídění může dojít k nárůstu. </t>
  </si>
  <si>
    <t xml:space="preserve">Může také být nula v budoucnu. </t>
  </si>
  <si>
    <t xml:space="preserve">Může změnit např. prodej pozemků. </t>
  </si>
  <si>
    <t>Silnice Ovčín</t>
  </si>
  <si>
    <t xml:space="preserve">Zde bylo loni šetřeno na česla. ČRS měl předložit návrh, rozpočet a souhlas příslušného úřadu. Bez reakce. </t>
  </si>
  <si>
    <t xml:space="preserve">S rezervou na vybavení kuchyně a stroje. </t>
  </si>
  <si>
    <t>Technické učebny</t>
  </si>
  <si>
    <t>Měla by tam být i projekce.</t>
  </si>
  <si>
    <t xml:space="preserve">VO - otázka je, na které dojde. Celkem je dle rozpočtu kompletní výměna v projektovaných úsecích až za 11 milionů korun. </t>
  </si>
  <si>
    <t>Změna ÚP2</t>
  </si>
  <si>
    <t>Dokončení územní studie "Průmysl"</t>
  </si>
  <si>
    <t>Střední škola</t>
  </si>
  <si>
    <t>Přebytek 2025</t>
  </si>
  <si>
    <t>Přebytek 2026</t>
  </si>
  <si>
    <t xml:space="preserve">Schodek na konci roku </t>
  </si>
  <si>
    <t>Centra obce ABC+zeleň Černovičky+další údržba zeleně+AVANT stroj na údržbu+RE Starý vrch</t>
  </si>
  <si>
    <t>Střecha čp 68+výměna vodoměrů v celé budově</t>
  </si>
  <si>
    <t>Střecha sklad Koupailště+dětské hřiště u ČOV (umístění bude prověřeno)</t>
  </si>
  <si>
    <t>4křižovatka+VO+přechod Lidická (Na Sedmerkách)</t>
  </si>
  <si>
    <t>Vrata hasičrána + nároží hasičárny+úpravy DA (dar letiště a další zdroje)</t>
  </si>
  <si>
    <t>ČSOV - přečerpávací šachta u potoka+koncesní řízení na VaK+soláry ČOV</t>
  </si>
  <si>
    <t xml:space="preserve">Výměna vodoměrů. </t>
  </si>
  <si>
    <t xml:space="preserve">V MŠ nejsou plánovány investice, vše ostatní je řešeno závazným ukazatelem. </t>
  </si>
  <si>
    <t>Dotace (schválené i neschválené)</t>
  </si>
  <si>
    <t>Schodek po odečtení dotací</t>
  </si>
  <si>
    <t>Odhad + dotace + navýšení dle https://www.poradnaproobce.cz/finance/kalkulacka-rud-2026/stredokluky-539708</t>
  </si>
  <si>
    <t>Nepedagogové - srovnání</t>
  </si>
  <si>
    <t>Dle MŠMT celkový výnos ZŠ+MŠ</t>
  </si>
  <si>
    <t>Nepedagogové</t>
  </si>
  <si>
    <t>MŠ</t>
  </si>
  <si>
    <t>ZŠ</t>
  </si>
  <si>
    <t>Provoz</t>
  </si>
  <si>
    <t>Celkem provoz</t>
  </si>
  <si>
    <t>Celkem nepedagogové</t>
  </si>
  <si>
    <t>k 7. 12. 2025</t>
  </si>
  <si>
    <t>Dává to ke škole</t>
  </si>
  <si>
    <t>Dluh za nákup Kubrovy školy</t>
  </si>
  <si>
    <t>Investice v rozpočtu</t>
  </si>
  <si>
    <t>Oprava komunikace Na Ovčíně</t>
  </si>
  <si>
    <t>4křižovatka+VO</t>
  </si>
  <si>
    <t>Přechod na SedmerkáchxLidická</t>
  </si>
  <si>
    <t>Výměna vodoměrů</t>
  </si>
  <si>
    <t>ČOSV</t>
  </si>
  <si>
    <t>Školní kuchyně - konvektomat, nábytek do jídelny</t>
  </si>
  <si>
    <t>Střecha sklad - Plovárna</t>
  </si>
  <si>
    <t>Střecha č.p. 68+kotelna</t>
  </si>
  <si>
    <t>Výměna vodoměrů 68</t>
  </si>
  <si>
    <t>Nové veřejné osvětlení - zatím není jisté, které úseky se stihnou udělat - projektují se Černovičky, okolí kostela, Parcely+Ovčín, spolu s optikou se nabízí i Nad Běloky nebo U Koupaliště</t>
  </si>
  <si>
    <t>Změna ÚP č. 2 - zaplatí investor</t>
  </si>
  <si>
    <t>Dokončení územní studie Průmysl (je nutné začít dělat nové studie)</t>
  </si>
  <si>
    <t>Avant</t>
  </si>
  <si>
    <t>Centra obce Středokluky</t>
  </si>
  <si>
    <t>Zeleň - Černovičky</t>
  </si>
  <si>
    <t>Zeleň - další údržba</t>
  </si>
  <si>
    <t>Projekce - Starý vrch</t>
  </si>
  <si>
    <t>Nároží hasičárny + vrata</t>
  </si>
  <si>
    <t>Nákupy vybavení, přestavba DA na TA</t>
  </si>
  <si>
    <t>Hodnocení</t>
  </si>
  <si>
    <t>Letiště Praha - Dobré sousedství</t>
  </si>
  <si>
    <t>Dětské hřiště a workout u rybníka</t>
  </si>
  <si>
    <t>Roční splátka Kubrovy školy (neúročená)</t>
  </si>
  <si>
    <t>Úvěr k 12. 12. 2025</t>
  </si>
  <si>
    <t xml:space="preserve">Odhad daňových příjmů v Kč. </t>
  </si>
  <si>
    <t>Stavy účtů a peníze na cestě v Kč</t>
  </si>
  <si>
    <t>Schválené dotace</t>
  </si>
  <si>
    <t>IROP - odborné učebny ZŠ (kuchyňka a technická učebna)</t>
  </si>
  <si>
    <t>Termín</t>
  </si>
  <si>
    <t>Stav</t>
  </si>
  <si>
    <t>Doplnění</t>
  </si>
  <si>
    <t>Žádosti připravované 2026</t>
  </si>
  <si>
    <t>Dary schválené</t>
  </si>
  <si>
    <t>Příspěvkové organizace</t>
  </si>
  <si>
    <t>Pozn.: bude sníženo na 1 mil. Kč.</t>
  </si>
  <si>
    <t>Návrh rozpočtu obce Středokluky na rok 2026</t>
  </si>
  <si>
    <t xml:space="preserve">Schodek rozpočtu bude vyrovnán přebytky minulých let a úvěrem. </t>
  </si>
  <si>
    <t>Předpokládaný přebytek roku 2025</t>
  </si>
  <si>
    <t>Úvěr - rekonstrukce komunikace na Ovčíně</t>
  </si>
  <si>
    <t>Předpokládaný stav účtů na konci roku 2026</t>
  </si>
  <si>
    <t>Další podklady budou zveřejňovány na www.stredokluky.cz/finance</t>
  </si>
  <si>
    <t>FVE ČOV</t>
  </si>
  <si>
    <t>Dotace a projekty nyní mimo rozpočet</t>
  </si>
  <si>
    <t>akce již realizována</t>
  </si>
  <si>
    <t>Návrh rozpočtu obce Středokluky na rok 2026 vč. zatím neschválených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</si>
</sst>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rgb="FF242424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3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Aptos Narrow"/>
      <family val="2"/>
      <charset val="238"/>
    </font>
    <font>
      <sz val="12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  <font>
      <sz val="12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E4FF"/>
        <bgColor rgb="FF000000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/>
  </cellStyleXfs>
  <cellXfs count="265">
    <xf numFmtId="0" fontId="0" fillId="0" borderId="0" xfId="0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0" fontId="0" fillId="0" borderId="3" xfId="0" applyBorder="1"/>
    <xf numFmtId="0" fontId="0" fillId="0" borderId="15" xfId="0" applyBorder="1"/>
    <xf numFmtId="0" fontId="0" fillId="0" borderId="5" xfId="0" applyBorder="1"/>
    <xf numFmtId="0" fontId="0" fillId="0" borderId="6" xfId="0" applyBorder="1"/>
    <xf numFmtId="43" fontId="0" fillId="0" borderId="1" xfId="1" applyFont="1" applyBorder="1"/>
    <xf numFmtId="0" fontId="0" fillId="0" borderId="1" xfId="0" applyBorder="1"/>
    <xf numFmtId="14" fontId="0" fillId="0" borderId="0" xfId="0" applyNumberFormat="1"/>
    <xf numFmtId="165" fontId="0" fillId="0" borderId="1" xfId="0" applyNumberFormat="1" applyBorder="1"/>
    <xf numFmtId="14" fontId="0" fillId="0" borderId="2" xfId="0" applyNumberFormat="1" applyBorder="1"/>
    <xf numFmtId="0" fontId="4" fillId="0" borderId="0" xfId="0" applyFont="1"/>
    <xf numFmtId="164" fontId="0" fillId="0" borderId="0" xfId="1" applyNumberFormat="1" applyFont="1"/>
    <xf numFmtId="164" fontId="4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0" fillId="3" borderId="0" xfId="0" applyFill="1"/>
    <xf numFmtId="164" fontId="0" fillId="3" borderId="0" xfId="1" applyNumberFormat="1" applyFont="1" applyFill="1"/>
    <xf numFmtId="0" fontId="4" fillId="3" borderId="0" xfId="0" applyFont="1" applyFill="1"/>
    <xf numFmtId="164" fontId="4" fillId="3" borderId="0" xfId="1" applyNumberFormat="1" applyFont="1" applyFill="1"/>
    <xf numFmtId="0" fontId="4" fillId="2" borderId="0" xfId="0" applyFont="1" applyFill="1"/>
    <xf numFmtId="164" fontId="4" fillId="2" borderId="0" xfId="1" applyNumberFormat="1" applyFont="1" applyFill="1"/>
    <xf numFmtId="0" fontId="4" fillId="4" borderId="0" xfId="0" applyFont="1" applyFill="1"/>
    <xf numFmtId="164" fontId="4" fillId="4" borderId="0" xfId="1" applyNumberFormat="1" applyFont="1" applyFill="1"/>
    <xf numFmtId="0" fontId="4" fillId="5" borderId="0" xfId="0" applyFont="1" applyFill="1"/>
    <xf numFmtId="164" fontId="4" fillId="5" borderId="0" xfId="1" applyNumberFormat="1" applyFont="1" applyFill="1"/>
    <xf numFmtId="0" fontId="0" fillId="4" borderId="0" xfId="0" applyFill="1"/>
    <xf numFmtId="164" fontId="0" fillId="4" borderId="0" xfId="1" applyNumberFormat="1" applyFont="1" applyFill="1"/>
    <xf numFmtId="0" fontId="2" fillId="3" borderId="0" xfId="0" applyFont="1" applyFill="1"/>
    <xf numFmtId="0" fontId="0" fillId="6" borderId="0" xfId="0" applyFill="1"/>
    <xf numFmtId="164" fontId="0" fillId="6" borderId="0" xfId="1" applyNumberFormat="1" applyFont="1" applyFill="1"/>
    <xf numFmtId="43" fontId="0" fillId="0" borderId="16" xfId="1" applyFont="1" applyBorder="1"/>
    <xf numFmtId="0" fontId="4" fillId="0" borderId="8" xfId="0" applyFont="1" applyBorder="1"/>
    <xf numFmtId="0" fontId="4" fillId="0" borderId="10" xfId="0" applyFont="1" applyBorder="1"/>
    <xf numFmtId="43" fontId="4" fillId="0" borderId="11" xfId="1" applyFont="1" applyBorder="1"/>
    <xf numFmtId="0" fontId="0" fillId="0" borderId="4" xfId="0" applyBorder="1"/>
    <xf numFmtId="43" fontId="0" fillId="0" borderId="23" xfId="1" applyFont="1" applyBorder="1"/>
    <xf numFmtId="43" fontId="0" fillId="0" borderId="7" xfId="1" applyFont="1" applyBorder="1"/>
    <xf numFmtId="0" fontId="4" fillId="0" borderId="13" xfId="0" applyFont="1" applyBorder="1"/>
    <xf numFmtId="0" fontId="4" fillId="0" borderId="26" xfId="0" applyFont="1" applyBorder="1"/>
    <xf numFmtId="0" fontId="0" fillId="0" borderId="27" xfId="0" applyBorder="1"/>
    <xf numFmtId="0" fontId="0" fillId="0" borderId="28" xfId="0" applyBorder="1"/>
    <xf numFmtId="0" fontId="4" fillId="0" borderId="20" xfId="0" applyFont="1" applyBorder="1"/>
    <xf numFmtId="0" fontId="0" fillId="0" borderId="26" xfId="0" applyBorder="1"/>
    <xf numFmtId="43" fontId="0" fillId="0" borderId="4" xfId="1" applyFont="1" applyBorder="1"/>
    <xf numFmtId="43" fontId="0" fillId="0" borderId="15" xfId="1" applyFont="1" applyBorder="1"/>
    <xf numFmtId="43" fontId="0" fillId="0" borderId="9" xfId="1" applyFont="1" applyBorder="1"/>
    <xf numFmtId="0" fontId="0" fillId="0" borderId="9" xfId="0" applyBorder="1"/>
    <xf numFmtId="165" fontId="0" fillId="0" borderId="9" xfId="0" applyNumberFormat="1" applyBorder="1"/>
    <xf numFmtId="165" fontId="0" fillId="0" borderId="24" xfId="0" applyNumberFormat="1" applyBorder="1"/>
    <xf numFmtId="14" fontId="4" fillId="0" borderId="11" xfId="0" applyNumberFormat="1" applyFont="1" applyBorder="1"/>
    <xf numFmtId="43" fontId="4" fillId="0" borderId="25" xfId="1" applyFont="1" applyBorder="1"/>
    <xf numFmtId="14" fontId="0" fillId="0" borderId="4" xfId="0" applyNumberFormat="1" applyBorder="1"/>
    <xf numFmtId="14" fontId="0" fillId="0" borderId="23" xfId="0" applyNumberFormat="1" applyBorder="1"/>
    <xf numFmtId="43" fontId="0" fillId="0" borderId="8" xfId="1" applyFont="1" applyBorder="1"/>
    <xf numFmtId="0" fontId="4" fillId="0" borderId="29" xfId="0" applyFont="1" applyBorder="1"/>
    <xf numFmtId="43" fontId="0" fillId="0" borderId="16" xfId="1" applyFont="1" applyBorder="1" applyAlignment="1">
      <alignment horizontal="right"/>
    </xf>
    <xf numFmtId="43" fontId="0" fillId="0" borderId="24" xfId="1" applyFont="1" applyBorder="1"/>
    <xf numFmtId="0" fontId="4" fillId="0" borderId="18" xfId="0" applyFont="1" applyBorder="1"/>
    <xf numFmtId="0" fontId="4" fillId="0" borderId="30" xfId="0" applyFont="1" applyBorder="1"/>
    <xf numFmtId="43" fontId="4" fillId="0" borderId="30" xfId="0" applyNumberFormat="1" applyFont="1" applyBorder="1"/>
    <xf numFmtId="43" fontId="4" fillId="0" borderId="14" xfId="0" applyNumberFormat="1" applyFont="1" applyBorder="1"/>
    <xf numFmtId="0" fontId="0" fillId="0" borderId="12" xfId="0" applyBorder="1"/>
    <xf numFmtId="0" fontId="0" fillId="0" borderId="21" xfId="0" applyBorder="1"/>
    <xf numFmtId="43" fontId="0" fillId="0" borderId="21" xfId="0" applyNumberFormat="1" applyBorder="1"/>
    <xf numFmtId="43" fontId="0" fillId="0" borderId="22" xfId="0" applyNumberFormat="1" applyBorder="1"/>
    <xf numFmtId="0" fontId="5" fillId="2" borderId="0" xfId="0" applyFont="1" applyFill="1"/>
    <xf numFmtId="164" fontId="5" fillId="2" borderId="0" xfId="1" applyNumberFormat="1" applyFont="1" applyFill="1"/>
    <xf numFmtId="0" fontId="5" fillId="6" borderId="0" xfId="0" applyFont="1" applyFill="1"/>
    <xf numFmtId="164" fontId="5" fillId="6" borderId="0" xfId="1" applyNumberFormat="1" applyFont="1" applyFill="1"/>
    <xf numFmtId="0" fontId="0" fillId="0" borderId="24" xfId="0" applyBorder="1"/>
    <xf numFmtId="43" fontId="4" fillId="0" borderId="30" xfId="1" applyFont="1" applyBorder="1"/>
    <xf numFmtId="43" fontId="4" fillId="0" borderId="14" xfId="1" applyFont="1" applyBorder="1"/>
    <xf numFmtId="0" fontId="0" fillId="0" borderId="32" xfId="0" applyBorder="1"/>
    <xf numFmtId="0" fontId="0" fillId="0" borderId="33" xfId="0" applyBorder="1"/>
    <xf numFmtId="0" fontId="4" fillId="0" borderId="35" xfId="0" applyFont="1" applyBorder="1"/>
    <xf numFmtId="0" fontId="0" fillId="0" borderId="36" xfId="0" applyBorder="1"/>
    <xf numFmtId="0" fontId="4" fillId="0" borderId="31" xfId="0" applyFont="1" applyBorder="1"/>
    <xf numFmtId="0" fontId="0" fillId="0" borderId="38" xfId="0" applyBorder="1"/>
    <xf numFmtId="43" fontId="0" fillId="0" borderId="32" xfId="1" applyFont="1" applyBorder="1"/>
    <xf numFmtId="0" fontId="4" fillId="0" borderId="40" xfId="0" applyFont="1" applyBorder="1"/>
    <xf numFmtId="0" fontId="6" fillId="0" borderId="2" xfId="0" applyFont="1" applyBorder="1"/>
    <xf numFmtId="0" fontId="7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4" fontId="8" fillId="9" borderId="8" xfId="0" applyNumberFormat="1" applyFont="1" applyFill="1" applyBorder="1" applyAlignment="1">
      <alignment vertical="center"/>
    </xf>
    <xf numFmtId="4" fontId="8" fillId="9" borderId="41" xfId="0" applyNumberFormat="1" applyFont="1" applyFill="1" applyBorder="1" applyAlignment="1">
      <alignment vertical="center"/>
    </xf>
    <xf numFmtId="0" fontId="8" fillId="9" borderId="8" xfId="0" applyFont="1" applyFill="1" applyBorder="1" applyAlignment="1">
      <alignment horizontal="right" wrapText="1"/>
    </xf>
    <xf numFmtId="0" fontId="8" fillId="9" borderId="9" xfId="0" applyFont="1" applyFill="1" applyBorder="1" applyAlignment="1">
      <alignment horizontal="right" wrapText="1"/>
    </xf>
    <xf numFmtId="0" fontId="8" fillId="9" borderId="41" xfId="0" applyFont="1" applyFill="1" applyBorder="1" applyAlignment="1">
      <alignment horizontal="right" wrapText="1"/>
    </xf>
    <xf numFmtId="0" fontId="8" fillId="9" borderId="35" xfId="0" applyFont="1" applyFill="1" applyBorder="1" applyAlignment="1">
      <alignment horizontal="right" wrapText="1"/>
    </xf>
    <xf numFmtId="4" fontId="9" fillId="9" borderId="3" xfId="0" applyNumberFormat="1" applyFont="1" applyFill="1" applyBorder="1" applyAlignment="1">
      <alignment vertical="center"/>
    </xf>
    <xf numFmtId="4" fontId="9" fillId="9" borderId="42" xfId="0" applyNumberFormat="1" applyFont="1" applyFill="1" applyBorder="1" applyAlignment="1">
      <alignment vertical="center" wrapText="1"/>
    </xf>
    <xf numFmtId="3" fontId="9" fillId="7" borderId="43" xfId="0" applyNumberFormat="1" applyFont="1" applyFill="1" applyBorder="1" applyAlignment="1">
      <alignment vertical="center"/>
    </xf>
    <xf numFmtId="4" fontId="9" fillId="9" borderId="4" xfId="0" applyNumberFormat="1" applyFont="1" applyFill="1" applyBorder="1" applyAlignment="1">
      <alignment vertical="center"/>
    </xf>
    <xf numFmtId="4" fontId="9" fillId="9" borderId="42" xfId="0" applyNumberFormat="1" applyFont="1" applyFill="1" applyBorder="1" applyAlignment="1">
      <alignment vertical="center"/>
    </xf>
    <xf numFmtId="4" fontId="9" fillId="9" borderId="43" xfId="0" applyNumberFormat="1" applyFont="1" applyFill="1" applyBorder="1" applyAlignment="1">
      <alignment vertical="center"/>
    </xf>
    <xf numFmtId="4" fontId="9" fillId="9" borderId="5" xfId="0" applyNumberFormat="1" applyFont="1" applyFill="1" applyBorder="1" applyAlignment="1">
      <alignment vertical="center"/>
    </xf>
    <xf numFmtId="4" fontId="9" fillId="9" borderId="44" xfId="0" applyNumberFormat="1" applyFont="1" applyFill="1" applyBorder="1" applyAlignment="1">
      <alignment vertical="center" wrapText="1"/>
    </xf>
    <xf numFmtId="3" fontId="9" fillId="7" borderId="36" xfId="0" applyNumberFormat="1" applyFont="1" applyFill="1" applyBorder="1" applyAlignment="1">
      <alignment vertical="center"/>
    </xf>
    <xf numFmtId="4" fontId="9" fillId="9" borderId="2" xfId="0" applyNumberFormat="1" applyFont="1" applyFill="1" applyBorder="1" applyAlignment="1">
      <alignment vertical="center"/>
    </xf>
    <xf numFmtId="4" fontId="9" fillId="9" borderId="44" xfId="0" applyNumberFormat="1" applyFont="1" applyFill="1" applyBorder="1" applyAlignment="1">
      <alignment vertical="center"/>
    </xf>
    <xf numFmtId="4" fontId="9" fillId="9" borderId="36" xfId="0" applyNumberFormat="1" applyFont="1" applyFill="1" applyBorder="1" applyAlignment="1">
      <alignment vertical="center"/>
    </xf>
    <xf numFmtId="0" fontId="9" fillId="9" borderId="5" xfId="0" applyFont="1" applyFill="1" applyBorder="1" applyAlignment="1">
      <alignment horizontal="left" vertical="center"/>
    </xf>
    <xf numFmtId="4" fontId="9" fillId="9" borderId="19" xfId="0" applyNumberFormat="1" applyFont="1" applyFill="1" applyBorder="1" applyAlignment="1">
      <alignment vertical="center"/>
    </xf>
    <xf numFmtId="4" fontId="9" fillId="9" borderId="45" xfId="0" applyNumberFormat="1" applyFont="1" applyFill="1" applyBorder="1" applyAlignment="1">
      <alignment vertical="center" wrapText="1"/>
    </xf>
    <xf numFmtId="3" fontId="9" fillId="7" borderId="46" xfId="0" applyNumberFormat="1" applyFont="1" applyFill="1" applyBorder="1" applyAlignment="1">
      <alignment vertical="center"/>
    </xf>
    <xf numFmtId="4" fontId="9" fillId="9" borderId="17" xfId="0" applyNumberFormat="1" applyFont="1" applyFill="1" applyBorder="1" applyAlignment="1">
      <alignment vertical="center"/>
    </xf>
    <xf numFmtId="4" fontId="9" fillId="9" borderId="45" xfId="0" applyNumberFormat="1" applyFont="1" applyFill="1" applyBorder="1" applyAlignment="1">
      <alignment vertical="center"/>
    </xf>
    <xf numFmtId="4" fontId="9" fillId="9" borderId="46" xfId="0" applyNumberFormat="1" applyFont="1" applyFill="1" applyBorder="1" applyAlignment="1">
      <alignment vertical="center"/>
    </xf>
    <xf numFmtId="4" fontId="8" fillId="9" borderId="2" xfId="0" applyNumberFormat="1" applyFont="1" applyFill="1" applyBorder="1" applyAlignment="1">
      <alignment vertical="center"/>
    </xf>
    <xf numFmtId="3" fontId="8" fillId="9" borderId="2" xfId="0" applyNumberFormat="1" applyFont="1" applyFill="1" applyBorder="1" applyAlignment="1">
      <alignment vertical="center"/>
    </xf>
    <xf numFmtId="164" fontId="0" fillId="0" borderId="16" xfId="1" applyNumberFormat="1" applyFont="1" applyBorder="1"/>
    <xf numFmtId="164" fontId="0" fillId="0" borderId="16" xfId="0" applyNumberFormat="1" applyBorder="1"/>
    <xf numFmtId="0" fontId="4" fillId="0" borderId="6" xfId="0" applyFont="1" applyBorder="1"/>
    <xf numFmtId="164" fontId="4" fillId="0" borderId="7" xfId="0" applyNumberFormat="1" applyFont="1" applyBorder="1"/>
    <xf numFmtId="0" fontId="0" fillId="0" borderId="37" xfId="0" applyBorder="1"/>
    <xf numFmtId="164" fontId="0" fillId="0" borderId="37" xfId="0" applyNumberFormat="1" applyBorder="1"/>
    <xf numFmtId="0" fontId="4" fillId="0" borderId="3" xfId="0" applyFont="1" applyBorder="1"/>
    <xf numFmtId="164" fontId="0" fillId="0" borderId="15" xfId="0" applyNumberFormat="1" applyBorder="1"/>
    <xf numFmtId="164" fontId="0" fillId="0" borderId="7" xfId="1" applyNumberFormat="1" applyFont="1" applyBorder="1"/>
    <xf numFmtId="164" fontId="0" fillId="0" borderId="37" xfId="1" applyNumberFormat="1" applyFont="1" applyBorder="1"/>
    <xf numFmtId="0" fontId="4" fillId="10" borderId="18" xfId="0" applyFont="1" applyFill="1" applyBorder="1"/>
    <xf numFmtId="164" fontId="4" fillId="10" borderId="14" xfId="1" applyNumberFormat="1" applyFont="1" applyFill="1" applyBorder="1"/>
    <xf numFmtId="0" fontId="0" fillId="0" borderId="8" xfId="0" applyBorder="1"/>
    <xf numFmtId="43" fontId="0" fillId="0" borderId="47" xfId="1" applyFont="1" applyBorder="1"/>
    <xf numFmtId="165" fontId="4" fillId="0" borderId="22" xfId="0" applyNumberFormat="1" applyFont="1" applyBorder="1"/>
    <xf numFmtId="0" fontId="10" fillId="9" borderId="0" xfId="0" applyFont="1" applyFill="1" applyProtection="1">
      <protection locked="0"/>
    </xf>
    <xf numFmtId="0" fontId="10" fillId="0" borderId="0" xfId="0" applyFont="1"/>
    <xf numFmtId="0" fontId="9" fillId="9" borderId="1" xfId="0" applyFont="1" applyFill="1" applyBorder="1" applyAlignment="1">
      <alignment vertical="top"/>
    </xf>
    <xf numFmtId="0" fontId="11" fillId="9" borderId="1" xfId="0" applyFont="1" applyFill="1" applyBorder="1" applyAlignment="1">
      <alignment vertical="top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top"/>
    </xf>
    <xf numFmtId="43" fontId="4" fillId="0" borderId="2" xfId="1" applyFont="1" applyBorder="1"/>
    <xf numFmtId="0" fontId="0" fillId="0" borderId="2" xfId="1" applyNumberFormat="1" applyFont="1" applyBorder="1"/>
    <xf numFmtId="43" fontId="0" fillId="10" borderId="2" xfId="1" applyFont="1" applyFill="1" applyBorder="1"/>
    <xf numFmtId="3" fontId="9" fillId="7" borderId="48" xfId="0" applyNumberFormat="1" applyFont="1" applyFill="1" applyBorder="1" applyAlignment="1">
      <alignment vertical="center"/>
    </xf>
    <xf numFmtId="4" fontId="9" fillId="9" borderId="48" xfId="0" applyNumberFormat="1" applyFont="1" applyFill="1" applyBorder="1" applyAlignment="1">
      <alignment vertical="center"/>
    </xf>
    <xf numFmtId="0" fontId="14" fillId="0" borderId="0" xfId="2"/>
    <xf numFmtId="0" fontId="8" fillId="9" borderId="1" xfId="0" applyFont="1" applyFill="1" applyBorder="1" applyAlignment="1">
      <alignment horizontal="right" wrapText="1"/>
    </xf>
    <xf numFmtId="4" fontId="9" fillId="9" borderId="1" xfId="0" applyNumberFormat="1" applyFont="1" applyFill="1" applyBorder="1" applyAlignment="1">
      <alignment vertical="center"/>
    </xf>
    <xf numFmtId="0" fontId="10" fillId="0" borderId="1" xfId="0" applyFont="1" applyBorder="1"/>
    <xf numFmtId="4" fontId="0" fillId="0" borderId="0" xfId="0" applyNumberFormat="1"/>
    <xf numFmtId="0" fontId="9" fillId="9" borderId="34" xfId="0" applyFont="1" applyFill="1" applyBorder="1" applyAlignment="1">
      <alignment horizontal="left" vertical="center"/>
    </xf>
    <xf numFmtId="164" fontId="0" fillId="0" borderId="24" xfId="1" applyNumberFormat="1" applyFont="1" applyBorder="1"/>
    <xf numFmtId="164" fontId="0" fillId="0" borderId="2" xfId="1" applyNumberFormat="1" applyFont="1" applyBorder="1"/>
    <xf numFmtId="165" fontId="0" fillId="0" borderId="0" xfId="0" applyNumberFormat="1"/>
    <xf numFmtId="0" fontId="8" fillId="9" borderId="2" xfId="0" applyFont="1" applyFill="1" applyBorder="1"/>
    <xf numFmtId="0" fontId="8" fillId="9" borderId="2" xfId="0" applyFont="1" applyFill="1" applyBorder="1" applyAlignment="1">
      <alignment horizontal="right" wrapText="1"/>
    </xf>
    <xf numFmtId="4" fontId="9" fillId="9" borderId="2" xfId="0" applyNumberFormat="1" applyFont="1" applyFill="1" applyBorder="1" applyAlignment="1">
      <alignment vertical="center" wrapText="1"/>
    </xf>
    <xf numFmtId="3" fontId="9" fillId="7" borderId="2" xfId="0" applyNumberFormat="1" applyFont="1" applyFill="1" applyBorder="1" applyAlignment="1">
      <alignment vertical="center"/>
    </xf>
    <xf numFmtId="4" fontId="12" fillId="9" borderId="2" xfId="0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vertical="center"/>
    </xf>
    <xf numFmtId="0" fontId="8" fillId="8" borderId="4" xfId="0" applyFont="1" applyFill="1" applyBorder="1" applyAlignment="1">
      <alignment vertical="center"/>
    </xf>
    <xf numFmtId="0" fontId="8" fillId="8" borderId="15" xfId="0" applyFont="1" applyFill="1" applyBorder="1" applyAlignment="1">
      <alignment vertical="center"/>
    </xf>
    <xf numFmtId="0" fontId="8" fillId="9" borderId="5" xfId="0" applyFont="1" applyFill="1" applyBorder="1"/>
    <xf numFmtId="0" fontId="8" fillId="9" borderId="16" xfId="0" applyFont="1" applyFill="1" applyBorder="1" applyAlignment="1">
      <alignment horizontal="right" wrapText="1"/>
    </xf>
    <xf numFmtId="4" fontId="9" fillId="9" borderId="16" xfId="0" applyNumberFormat="1" applyFont="1" applyFill="1" applyBorder="1" applyAlignment="1">
      <alignment vertical="center"/>
    </xf>
    <xf numFmtId="0" fontId="10" fillId="0" borderId="16" xfId="0" applyFont="1" applyBorder="1"/>
    <xf numFmtId="4" fontId="8" fillId="9" borderId="6" xfId="0" applyNumberFormat="1" applyFont="1" applyFill="1" applyBorder="1" applyAlignment="1">
      <alignment vertical="center"/>
    </xf>
    <xf numFmtId="4" fontId="8" fillId="9" borderId="23" xfId="0" applyNumberFormat="1" applyFont="1" applyFill="1" applyBorder="1" applyAlignment="1">
      <alignment vertical="center"/>
    </xf>
    <xf numFmtId="3" fontId="8" fillId="9" borderId="23" xfId="0" applyNumberFormat="1" applyFont="1" applyFill="1" applyBorder="1" applyAlignment="1">
      <alignment vertical="center"/>
    </xf>
    <xf numFmtId="4" fontId="8" fillId="9" borderId="7" xfId="0" applyNumberFormat="1" applyFont="1" applyFill="1" applyBorder="1" applyAlignment="1">
      <alignment vertical="center"/>
    </xf>
    <xf numFmtId="4" fontId="9" fillId="7" borderId="44" xfId="0" applyNumberFormat="1" applyFont="1" applyFill="1" applyBorder="1" applyAlignment="1">
      <alignment vertical="center"/>
    </xf>
    <xf numFmtId="4" fontId="9" fillId="7" borderId="36" xfId="0" applyNumberFormat="1" applyFont="1" applyFill="1" applyBorder="1" applyAlignment="1">
      <alignment vertical="center"/>
    </xf>
    <xf numFmtId="43" fontId="0" fillId="0" borderId="1" xfId="1" applyFont="1" applyFill="1" applyBorder="1"/>
    <xf numFmtId="3" fontId="0" fillId="0" borderId="2" xfId="0" applyNumberFormat="1" applyBorder="1"/>
    <xf numFmtId="4" fontId="9" fillId="10" borderId="1" xfId="0" applyNumberFormat="1" applyFont="1" applyFill="1" applyBorder="1" applyAlignment="1">
      <alignment vertical="center"/>
    </xf>
    <xf numFmtId="14" fontId="0" fillId="0" borderId="33" xfId="0" applyNumberFormat="1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6" xfId="0" applyNumberFormat="1" applyBorder="1"/>
    <xf numFmtId="3" fontId="0" fillId="0" borderId="39" xfId="0" applyNumberFormat="1" applyBorder="1"/>
    <xf numFmtId="0" fontId="0" fillId="0" borderId="23" xfId="0" applyBorder="1"/>
    <xf numFmtId="4" fontId="8" fillId="9" borderId="44" xfId="0" applyNumberFormat="1" applyFont="1" applyFill="1" applyBorder="1" applyAlignment="1">
      <alignment horizontal="center" vertical="center"/>
    </xf>
    <xf numFmtId="4" fontId="8" fillId="9" borderId="33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8" fillId="9" borderId="2" xfId="0" applyFont="1" applyFill="1" applyBorder="1" applyAlignment="1">
      <alignment horizontal="left" vertical="center"/>
    </xf>
    <xf numFmtId="0" fontId="8" fillId="9" borderId="44" xfId="0" applyFont="1" applyFill="1" applyBorder="1" applyAlignment="1">
      <alignment horizontal="left" vertical="center"/>
    </xf>
    <xf numFmtId="0" fontId="8" fillId="9" borderId="33" xfId="0" applyFont="1" applyFill="1" applyBorder="1" applyAlignment="1">
      <alignment horizontal="left" vertical="center"/>
    </xf>
    <xf numFmtId="14" fontId="0" fillId="0" borderId="38" xfId="0" applyNumberFormat="1" applyBorder="1"/>
    <xf numFmtId="0" fontId="4" fillId="0" borderId="2" xfId="0" applyFont="1" applyBorder="1"/>
    <xf numFmtId="0" fontId="4" fillId="0" borderId="5" xfId="0" applyFont="1" applyBorder="1"/>
    <xf numFmtId="0" fontId="0" fillId="0" borderId="16" xfId="0" applyBorder="1"/>
    <xf numFmtId="165" fontId="4" fillId="0" borderId="16" xfId="0" applyNumberFormat="1" applyFont="1" applyBorder="1"/>
    <xf numFmtId="0" fontId="4" fillId="0" borderId="23" xfId="0" applyFont="1" applyBorder="1"/>
    <xf numFmtId="165" fontId="4" fillId="0" borderId="7" xfId="0" applyNumberFormat="1" applyFont="1" applyBorder="1"/>
    <xf numFmtId="3" fontId="0" fillId="0" borderId="23" xfId="0" applyNumberFormat="1" applyBorder="1"/>
    <xf numFmtId="0" fontId="0" fillId="0" borderId="7" xfId="0" applyBorder="1"/>
    <xf numFmtId="0" fontId="9" fillId="11" borderId="1" xfId="0" applyFont="1" applyFill="1" applyBorder="1"/>
    <xf numFmtId="0" fontId="9" fillId="0" borderId="1" xfId="0" applyFont="1" applyBorder="1"/>
    <xf numFmtId="0" fontId="9" fillId="11" borderId="1" xfId="0" applyFont="1" applyFill="1" applyBorder="1" applyAlignment="1">
      <alignment vertical="top"/>
    </xf>
    <xf numFmtId="0" fontId="8" fillId="11" borderId="1" xfId="0" applyFont="1" applyFill="1" applyBorder="1" applyAlignment="1">
      <alignment vertical="top"/>
    </xf>
    <xf numFmtId="0" fontId="7" fillId="12" borderId="8" xfId="0" applyFont="1" applyFill="1" applyBorder="1" applyAlignment="1">
      <alignment vertical="center"/>
    </xf>
    <xf numFmtId="0" fontId="8" fillId="12" borderId="9" xfId="0" applyFont="1" applyFill="1" applyBorder="1" applyAlignment="1">
      <alignment vertical="center"/>
    </xf>
    <xf numFmtId="0" fontId="8" fillId="12" borderId="24" xfId="0" applyFont="1" applyFill="1" applyBorder="1" applyAlignment="1">
      <alignment vertical="center"/>
    </xf>
    <xf numFmtId="0" fontId="8" fillId="11" borderId="18" xfId="0" applyFont="1" applyFill="1" applyBorder="1"/>
    <xf numFmtId="0" fontId="8" fillId="11" borderId="30" xfId="0" applyFont="1" applyFill="1" applyBorder="1"/>
    <xf numFmtId="0" fontId="8" fillId="11" borderId="30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0" fontId="9" fillId="11" borderId="51" xfId="0" applyFont="1" applyFill="1" applyBorder="1" applyAlignment="1">
      <alignment vertical="center"/>
    </xf>
    <xf numFmtId="0" fontId="9" fillId="11" borderId="52" xfId="0" applyFont="1" applyFill="1" applyBorder="1" applyAlignment="1">
      <alignment vertical="center" wrapText="1"/>
    </xf>
    <xf numFmtId="3" fontId="9" fillId="11" borderId="52" xfId="0" applyNumberFormat="1" applyFont="1" applyFill="1" applyBorder="1" applyAlignment="1">
      <alignment vertical="center"/>
    </xf>
    <xf numFmtId="3" fontId="9" fillId="11" borderId="53" xfId="0" applyNumberFormat="1" applyFont="1" applyFill="1" applyBorder="1" applyAlignment="1">
      <alignment vertical="center"/>
    </xf>
    <xf numFmtId="0" fontId="9" fillId="11" borderId="5" xfId="0" applyFont="1" applyFill="1" applyBorder="1" applyAlignment="1">
      <alignment vertical="center"/>
    </xf>
    <xf numFmtId="0" fontId="9" fillId="11" borderId="2" xfId="0" applyFont="1" applyFill="1" applyBorder="1" applyAlignment="1">
      <alignment vertical="center" wrapText="1"/>
    </xf>
    <xf numFmtId="3" fontId="9" fillId="11" borderId="2" xfId="0" applyNumberFormat="1" applyFont="1" applyFill="1" applyBorder="1" applyAlignment="1">
      <alignment vertical="center"/>
    </xf>
    <xf numFmtId="0" fontId="12" fillId="11" borderId="2" xfId="0" applyFont="1" applyFill="1" applyBorder="1" applyAlignment="1">
      <alignment vertical="center"/>
    </xf>
    <xf numFmtId="3" fontId="9" fillId="11" borderId="16" xfId="0" applyNumberFormat="1" applyFont="1" applyFill="1" applyBorder="1" applyAlignment="1">
      <alignment vertical="center"/>
    </xf>
    <xf numFmtId="0" fontId="9" fillId="11" borderId="2" xfId="0" applyFont="1" applyFill="1" applyBorder="1" applyAlignment="1">
      <alignment vertical="center"/>
    </xf>
    <xf numFmtId="0" fontId="9" fillId="11" borderId="5" xfId="0" applyFont="1" applyFill="1" applyBorder="1" applyAlignment="1">
      <alignment horizontal="left" vertical="center"/>
    </xf>
    <xf numFmtId="0" fontId="9" fillId="11" borderId="16" xfId="0" applyFont="1" applyFill="1" applyBorder="1" applyAlignment="1">
      <alignment vertical="center"/>
    </xf>
    <xf numFmtId="0" fontId="9" fillId="0" borderId="16" xfId="0" applyFont="1" applyBorder="1"/>
    <xf numFmtId="0" fontId="9" fillId="11" borderId="19" xfId="0" applyFont="1" applyFill="1" applyBorder="1" applyAlignment="1">
      <alignment horizontal="left" vertical="center"/>
    </xf>
    <xf numFmtId="0" fontId="9" fillId="11" borderId="17" xfId="0" applyFont="1" applyFill="1" applyBorder="1" applyAlignment="1">
      <alignment vertical="center" wrapText="1"/>
    </xf>
    <xf numFmtId="0" fontId="9" fillId="11" borderId="17" xfId="0" applyFont="1" applyFill="1" applyBorder="1" applyAlignment="1">
      <alignment vertical="center"/>
    </xf>
    <xf numFmtId="3" fontId="9" fillId="11" borderId="17" xfId="0" applyNumberFormat="1" applyFont="1" applyFill="1" applyBorder="1" applyAlignment="1">
      <alignment vertical="center"/>
    </xf>
    <xf numFmtId="0" fontId="9" fillId="11" borderId="54" xfId="0" applyFont="1" applyFill="1" applyBorder="1" applyAlignment="1">
      <alignment vertical="center"/>
    </xf>
    <xf numFmtId="0" fontId="8" fillId="11" borderId="18" xfId="0" applyFont="1" applyFill="1" applyBorder="1" applyAlignment="1">
      <alignment vertical="center"/>
    </xf>
    <xf numFmtId="0" fontId="8" fillId="11" borderId="30" xfId="0" applyFont="1" applyFill="1" applyBorder="1" applyAlignment="1">
      <alignment vertical="center"/>
    </xf>
    <xf numFmtId="3" fontId="8" fillId="11" borderId="30" xfId="0" applyNumberFormat="1" applyFont="1" applyFill="1" applyBorder="1" applyAlignment="1">
      <alignment vertical="center"/>
    </xf>
    <xf numFmtId="3" fontId="8" fillId="11" borderId="14" xfId="0" applyNumberFormat="1" applyFont="1" applyFill="1" applyBorder="1" applyAlignment="1">
      <alignment vertical="center"/>
    </xf>
    <xf numFmtId="0" fontId="16" fillId="0" borderId="1" xfId="0" applyFont="1" applyBorder="1"/>
    <xf numFmtId="0" fontId="7" fillId="12" borderId="18" xfId="0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0" fontId="8" fillId="12" borderId="14" xfId="0" applyFont="1" applyFill="1" applyBorder="1" applyAlignment="1">
      <alignment vertical="center"/>
    </xf>
    <xf numFmtId="0" fontId="8" fillId="11" borderId="37" xfId="0" applyFont="1" applyFill="1" applyBorder="1" applyAlignment="1">
      <alignment vertical="center"/>
    </xf>
    <xf numFmtId="0" fontId="8" fillId="11" borderId="55" xfId="0" applyFont="1" applyFill="1" applyBorder="1" applyAlignment="1">
      <alignment vertical="center"/>
    </xf>
    <xf numFmtId="3" fontId="8" fillId="11" borderId="4" xfId="0" applyNumberFormat="1" applyFont="1" applyFill="1" applyBorder="1" applyAlignment="1">
      <alignment vertical="center"/>
    </xf>
    <xf numFmtId="3" fontId="8" fillId="11" borderId="15" xfId="0" applyNumberFormat="1" applyFont="1" applyFill="1" applyBorder="1" applyAlignment="1">
      <alignment vertical="center"/>
    </xf>
    <xf numFmtId="3" fontId="8" fillId="11" borderId="2" xfId="0" applyNumberFormat="1" applyFont="1" applyFill="1" applyBorder="1" applyAlignment="1">
      <alignment vertical="center"/>
    </xf>
    <xf numFmtId="3" fontId="8" fillId="11" borderId="16" xfId="0" applyNumberFormat="1" applyFont="1" applyFill="1" applyBorder="1" applyAlignment="1">
      <alignment vertical="center"/>
    </xf>
    <xf numFmtId="3" fontId="8" fillId="11" borderId="23" xfId="0" applyNumberFormat="1" applyFont="1" applyFill="1" applyBorder="1" applyAlignment="1">
      <alignment vertical="center"/>
    </xf>
    <xf numFmtId="3" fontId="8" fillId="11" borderId="7" xfId="0" applyNumberFormat="1" applyFont="1" applyFill="1" applyBorder="1" applyAlignment="1">
      <alignment vertical="center"/>
    </xf>
    <xf numFmtId="0" fontId="9" fillId="0" borderId="13" xfId="0" applyFont="1" applyBorder="1"/>
    <xf numFmtId="0" fontId="9" fillId="0" borderId="49" xfId="0" applyFont="1" applyBorder="1"/>
    <xf numFmtId="0" fontId="16" fillId="0" borderId="49" xfId="0" applyFont="1" applyBorder="1"/>
    <xf numFmtId="3" fontId="9" fillId="0" borderId="47" xfId="0" applyNumberFormat="1" applyFont="1" applyBorder="1"/>
    <xf numFmtId="0" fontId="9" fillId="0" borderId="50" xfId="0" applyFont="1" applyBorder="1"/>
    <xf numFmtId="3" fontId="9" fillId="0" borderId="56" xfId="0" applyNumberFormat="1" applyFont="1" applyBorder="1"/>
    <xf numFmtId="0" fontId="17" fillId="0" borderId="1" xfId="0" applyFont="1" applyBorder="1"/>
    <xf numFmtId="0" fontId="8" fillId="0" borderId="12" xfId="0" applyFont="1" applyBorder="1"/>
    <xf numFmtId="0" fontId="18" fillId="0" borderId="21" xfId="0" applyFont="1" applyBorder="1"/>
    <xf numFmtId="3" fontId="8" fillId="0" borderId="22" xfId="0" applyNumberFormat="1" applyFont="1" applyBorder="1"/>
    <xf numFmtId="0" fontId="11" fillId="11" borderId="0" xfId="0" applyFont="1" applyFill="1" applyAlignment="1">
      <alignment horizontal="center" vertical="top" wrapText="1"/>
    </xf>
    <xf numFmtId="0" fontId="8" fillId="11" borderId="12" xfId="0" applyFont="1" applyFill="1" applyBorder="1" applyAlignment="1">
      <alignment horizontal="center" vertical="center"/>
    </xf>
    <xf numFmtId="0" fontId="8" fillId="11" borderId="2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11" borderId="27" xfId="0" applyFont="1" applyFill="1" applyBorder="1" applyAlignment="1">
      <alignment horizontal="left" vertical="center"/>
    </xf>
    <xf numFmtId="0" fontId="8" fillId="11" borderId="33" xfId="0" applyFont="1" applyFill="1" applyBorder="1" applyAlignment="1">
      <alignment horizontal="left" vertical="center"/>
    </xf>
    <xf numFmtId="0" fontId="8" fillId="11" borderId="28" xfId="0" applyFont="1" applyFill="1" applyBorder="1" applyAlignment="1">
      <alignment horizontal="left" vertical="center"/>
    </xf>
    <xf numFmtId="0" fontId="8" fillId="11" borderId="39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left"/>
    </xf>
    <xf numFmtId="0" fontId="1" fillId="0" borderId="0" xfId="0" applyFont="1"/>
    <xf numFmtId="4" fontId="19" fillId="9" borderId="2" xfId="0" applyNumberFormat="1" applyFont="1" applyFill="1" applyBorder="1" applyAlignment="1">
      <alignment horizontal="left" vertical="center"/>
    </xf>
    <xf numFmtId="4" fontId="19" fillId="9" borderId="2" xfId="0" applyNumberFormat="1" applyFont="1" applyFill="1" applyBorder="1" applyAlignment="1">
      <alignment horizontal="left" vertical="center" wrapText="1"/>
    </xf>
    <xf numFmtId="4" fontId="19" fillId="9" borderId="2" xfId="0" applyNumberFormat="1" applyFont="1" applyFill="1" applyBorder="1" applyAlignment="1">
      <alignment horizontal="left" vertical="center"/>
    </xf>
    <xf numFmtId="4" fontId="19" fillId="9" borderId="2" xfId="0" applyNumberFormat="1" applyFont="1" applyFill="1" applyBorder="1" applyAlignment="1">
      <alignment horizontal="left" vertical="center" wrapText="1"/>
    </xf>
    <xf numFmtId="0" fontId="19" fillId="9" borderId="2" xfId="0" applyFont="1" applyFill="1" applyBorder="1" applyAlignment="1">
      <alignment horizontal="left" vertical="center"/>
    </xf>
    <xf numFmtId="43" fontId="1" fillId="13" borderId="2" xfId="1" applyFont="1" applyFill="1" applyBorder="1" applyAlignment="1">
      <alignment horizontal="left"/>
    </xf>
    <xf numFmtId="0" fontId="0" fillId="13" borderId="0" xfId="0" applyFill="1"/>
  </cellXfs>
  <cellStyles count="4">
    <cellStyle name="Čárka" xfId="1" builtinId="3"/>
    <cellStyle name="Hypertextový odkaz" xfId="2" builtinId="8"/>
    <cellStyle name="Normální" xfId="0" builtinId="0"/>
    <cellStyle name="TableStyleLight1" xfId="3" xr:uid="{8E5CE380-525E-4764-98DA-BF66E1CAD4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3-12-05T10:37:52.98" personId="{00000000-0000-0000-0000-000000000000}" id="{BC165ABD-E5BA-481B-B914-7120C0D59DE8}">
    <text xml:space="preserve">Daňové příjmy, dotace apod. </text>
  </threadedComment>
  <threadedComment ref="C8" dT="2023-12-05T10:32:35.67" personId="{00000000-0000-0000-0000-000000000000}" id="{EF780878-B3A2-4188-8D9C-ACEBB6715C16}">
    <text xml:space="preserve">Nájem 1.VHS - dle kalkulace. </text>
  </threadedComment>
  <threadedComment ref="C9" dT="2023-12-05T10:32:42.57" personId="{00000000-0000-0000-0000-000000000000}" id="{8D07E29E-6EB4-4759-8401-84D6AE9CBDA4}">
    <text>Nájem 1.VHS - dle kalkulace.</text>
  </threadedComment>
  <threadedComment ref="C10" dT="2023-12-05T10:32:54.80" personId="{00000000-0000-0000-0000-000000000000}" id="{25C11BDC-5C06-4119-9EB6-FA9BB3D5D4D1}">
    <text>Nájemné rybník Pod Panskou</text>
  </threadedComment>
  <threadedComment ref="E11" dT="2024-11-05T09:46:54.40" personId="{00000000-0000-0000-0000-000000000000}" id="{6CAAA016-9876-4E76-A4A7-8904AFDC637A}">
    <text xml:space="preserve">Pojistné plnění. </text>
  </threadedComment>
  <threadedComment ref="E12" dT="2024-11-05T09:46:27.61" personId="{00000000-0000-0000-0000-000000000000}" id="{EAE771F3-0F80-4A97-9E3C-769AEC970065}">
    <text>Pojistná plnění.</text>
  </threadedComment>
  <threadedComment ref="C13" dT="2023-12-05T10:33:08.93" personId="{00000000-0000-0000-0000-000000000000}" id="{18A3D592-04D9-45C4-9344-F885540D3490}">
    <text>Univerzita 3. věku.</text>
  </threadedComment>
  <threadedComment ref="C15" dT="2023-12-05T10:33:54.62" personId="{00000000-0000-0000-0000-000000000000}" id="{04F9885C-8476-4DF2-BA5E-498C36FEA732}">
    <text>Pronájem Sportovní areál "Koupaliště"</text>
  </threadedComment>
  <threadedComment ref="C16" dT="2023-12-05T10:34:06.52" personId="{00000000-0000-0000-0000-000000000000}" id="{19FA4C70-4470-468C-8DB6-49F8D1A67473}">
    <text>Nájmy č.p. 68 a zálohy.</text>
  </threadedComment>
  <threadedComment ref="E17" dT="2024-11-06T11:38:46.21" personId="{00000000-0000-0000-0000-000000000000}" id="{1D3914E7-D52A-4417-8B9E-A9F98469ECA8}">
    <text>Školní kuchyně - nájem</text>
  </threadedComment>
  <threadedComment ref="F17" dT="2024-11-05T09:41:16.10" personId="{00000000-0000-0000-0000-000000000000}" id="{4D712712-7814-4DC0-B483-2D4B0C5018EA}">
    <text>Pronájem školní kuchyně.</text>
  </threadedComment>
  <threadedComment ref="E18" dT="2024-11-06T11:38:28.92" personId="{00000000-0000-0000-0000-000000000000}" id="{4FA06C2B-A97B-454A-A0BA-F3C4EBCD2904}">
    <text xml:space="preserve">Pojistné plnění. </text>
  </threadedComment>
  <threadedComment ref="C19" dT="2023-12-08T22:23:23.38" personId="{00000000-0000-0000-0000-000000000000}" id="{93E7C6ED-64A5-40AA-A3E8-1E61699AD0A2}">
    <text xml:space="preserve">Toto jsou věcná břemena. Nedokážeme predikovat. </text>
  </threadedComment>
  <threadedComment ref="C20" dT="2023-12-05T10:34:40.98" personId="{00000000-0000-0000-0000-000000000000}" id="{EB215F36-0CBD-481A-9F81-61710580726D}">
    <text xml:space="preserve">Prodej popelnic občanům. </text>
  </threadedComment>
  <threadedComment ref="C22" dT="2023-12-05T10:35:10.36" personId="{00000000-0000-0000-0000-000000000000}" id="{6E1AD939-A520-48CE-AAC8-08166B7FD0E9}">
    <text xml:space="preserve">Příspěvek EkoKom. 
Snížen dle reálných hodnot. Pokud bude zavedeno zálohování plastových lahví, změní se.      </text>
  </threadedComment>
  <threadedComment ref="C23" dT="2023-12-05T10:36:41.00" personId="{00000000-0000-0000-0000-000000000000}" id="{18EE17E6-7C07-4798-8CD9-60A25BCD4C65}">
    <text xml:space="preserve">Příspěvek na pronájem popelnic na bioodpad. </text>
  </threadedComment>
  <threadedComment ref="E24" dT="2024-11-05T09:48:45.50" personId="{00000000-0000-0000-0000-000000000000}" id="{8133E979-9937-4282-82C1-07C6E1B0014A}">
    <text>Pokuta ZPF</text>
  </threadedComment>
  <threadedComment ref="E25" dT="2024-11-06T11:36:51.56" personId="{00000000-0000-0000-0000-000000000000}" id="{8AEA7362-25DD-40EB-9527-9A81C75D70C1}">
    <text>Pojistné plnění</text>
  </threadedComment>
  <threadedComment ref="C26" dT="2023-12-29T11:46:04.47" personId="{00000000-0000-0000-0000-000000000000}" id="{BCC7D9F4-59B7-45AA-9943-9CF3CADE182B}">
    <text xml:space="preserve">Nájemné Cetin, Česká pošta, prodej knih apod. </text>
  </threadedComment>
  <threadedComment ref="E26" dT="2024-11-05T09:49:45.16" personId="{00000000-0000-0000-0000-000000000000}" id="{8CE6B0AA-FAB2-44A8-ADA5-A0A7CFF278DC}">
    <text xml:space="preserve">Přefakturace energií. </text>
  </threadedComment>
  <threadedComment ref="C27" dT="2023-12-29T11:48:20.96" personId="{00000000-0000-0000-0000-000000000000}" id="{69A1A290-A819-4DE3-B6B9-7B767AB97C30}">
    <text>Humanitární činnost nepředpokládáme.</text>
  </threadedComment>
  <threadedComment ref="C34" dT="2023-12-07T16:16:46.40" personId="{00000000-0000-0000-0000-000000000000}" id="{79BDAF47-1020-4AE9-A2D3-E9F28C2F73F6}">
    <text>Kastrace koček.</text>
  </threadedComment>
  <threadedComment ref="F35" dT="2024-11-06T14:03:44.93" personId="{00000000-0000-0000-0000-000000000000}" id="{5CB4F3A6-E881-4AE6-8ED2-071A4C9ED1F1}">
    <text xml:space="preserve">Opravy silnic. 
</text>
  </threadedComment>
  <threadedComment ref="F36" dT="2024-11-06T14:03:31.03" personId="{00000000-0000-0000-0000-000000000000}" id="{4B494323-B869-4591-9E35-8A5EFEE37A1F}">
    <text>4křižovatka</text>
  </threadedComment>
  <threadedComment ref="F38" dT="2024-11-05T12:01:29.94" personId="{00000000-0000-0000-0000-000000000000}" id="{F5CFBF0C-770A-4431-A852-CA85020AE91B}">
    <text>Platba za veřejnou dopravu. 111 536,- za rok 2025</text>
  </threadedComment>
  <threadedComment ref="F39" dT="2024-11-06T14:03:03.20" personId="{00000000-0000-0000-0000-000000000000}" id="{8E5BC639-6672-4D37-966B-256FF007C261}">
    <text>Vodné+drobné opravy</text>
  </threadedComment>
  <threadedComment ref="C40" dT="2023-12-07T16:32:29.72" personId="{00000000-0000-0000-0000-000000000000}" id="{7BCEB7D2-C6B9-4611-BEAD-7BEF14AE00A7}">
    <text xml:space="preserve">Kanálové vpusti, čistírna odpadních vod, stočné obce. 
</text>
  </threadedComment>
  <threadedComment ref="F40" dT="2024-11-06T14:02:26.24" personId="{00000000-0000-0000-0000-000000000000}" id="{BD9EB11F-EC21-4024-8B86-73610F7AA8E9}">
    <text>Stočné + drobné opravy</text>
  </threadedComment>
  <threadedComment ref="F41" dT="2024-11-06T14:01:54.13" personId="{00000000-0000-0000-0000-000000000000}" id="{F5B46D81-C3A6-4DA9-BA62-BEF1BCF7765B}">
    <text>Česla rybník</text>
  </threadedComment>
  <threadedComment ref="F42" dT="2024-11-06T14:01:40.13" personId="{00000000-0000-0000-0000-000000000000}" id="{A22AB150-264D-46D9-989A-EB15DE8C4D1F}">
    <text>Požadavek MŠ</text>
  </threadedComment>
  <threadedComment ref="F43" dT="2024-11-06T14:00:33.44" personId="{00000000-0000-0000-0000-000000000000}" id="{8089CBB5-1D6B-44FB-869E-9652E47C248B}">
    <text xml:space="preserve">Požadavek ZŠ do rozpočtu
</text>
  </threadedComment>
  <threadedComment ref="C45" dT="2023-12-07T16:33:09.37" personId="{00000000-0000-0000-0000-000000000000}" id="{CA1A352B-EE45-4082-8832-96F722A0E0EA}">
    <text xml:space="preserve">Virtuální univerzita 3. věku.
</text>
  </threadedComment>
  <threadedComment ref="C46" dT="2023-12-08T22:36:34.55" personId="{00000000-0000-0000-0000-000000000000}" id="{944AE8EB-3EC8-438E-BF79-6E26EBC5DBAE}">
    <text xml:space="preserve">Dotace spolkům a akce obce. </text>
  </threadedComment>
  <threadedComment ref="C48" dT="2023-12-08T22:35:34.00" personId="{00000000-0000-0000-0000-000000000000}" id="{33D7C913-EA57-4B4D-AD8A-5CFD3DB27376}">
    <text>Vydávání Středoklucké Střely.</text>
  </threadedComment>
  <threadedComment ref="C49" dT="2023-12-08T22:36:16.33" personId="{00000000-0000-0000-0000-000000000000}" id="{FAA5954B-2B93-4B36-BF79-3FDB1EC6483A}">
    <text xml:space="preserve">Dotace spolkům a akce obce. </text>
  </threadedComment>
  <threadedComment ref="C50" dT="2023-12-08T22:36:09.18" personId="{00000000-0000-0000-0000-000000000000}" id="{AD45B7E5-360E-479E-BC2C-3412B4BE2AB2}">
    <text>Fotbalové hřiště.</text>
  </threadedComment>
  <threadedComment ref="C51" dT="2023-12-08T22:35:56.09" personId="{00000000-0000-0000-0000-000000000000}" id="{BA642D4A-9A97-4E1D-884E-02AEE031592B}">
    <text xml:space="preserve">Dotace spolkům a akce obce. </text>
  </threadedComment>
  <threadedComment ref="C52" dT="2023-12-08T22:35:44.65" personId="{00000000-0000-0000-0000-000000000000}" id="{F3E31651-3B48-4925-AC5D-23B8F000A86A}">
    <text xml:space="preserve">Dotace spolkům a akce obce. </text>
  </threadedComment>
  <threadedComment ref="C53" dT="2023-12-08T22:35:50.34" personId="{00000000-0000-0000-0000-000000000000}" id="{C2AC6B0F-4725-4A5D-B261-44EF5C99254F}">
    <text>Sportovní areál koupaliště</text>
  </threadedComment>
  <threadedComment ref="F53" dT="2025-11-27T21:41:42.16" personId="{00000000-0000-0000-0000-000000000000}" id="{41F25701-C4CF-4412-B553-6651046EABAA}">
    <text xml:space="preserve">Spolky a rezerva. </text>
  </threadedComment>
  <threadedComment ref="C54" dT="2023-12-08T22:33:51.31" personId="{00000000-0000-0000-0000-000000000000}" id="{FCA83518-6120-4298-81F0-AEB1EBDF7951}">
    <text xml:space="preserve">Pronájmy z bytového domu. Jsou zde také platby za energie. </text>
  </threadedComment>
  <threadedComment ref="C56" dT="2023-12-08T22:21:42.68" personId="{00000000-0000-0000-0000-000000000000}" id="{7EB8C97C-6C4D-4FAC-92D9-F76D70784F0B}">
    <text xml:space="preserve">350 tisíc Kč na elektřinu
4 620 000 Kč na výstavbu veřejného osvěltení
</text>
  </threadedComment>
  <threadedComment ref="F56" dT="2024-11-06T13:58:41.76" personId="{00000000-0000-0000-0000-000000000000}" id="{B03332F5-2825-4CB2-999E-123DB3311D30}">
    <text>3900 tis. Kč investice + projekce, 800 tisíc provoz a opravy</text>
  </threadedComment>
  <threadedComment ref="F57" dT="2024-11-05T10:07:07.15" personId="{00000000-0000-0000-0000-000000000000}" id="{AE8E0761-BB0C-4173-ADEC-D539B9A1E428}">
    <text>Změna ÚP č. 2</text>
  </threadedComment>
  <threadedComment ref="F58" dT="2024-11-06T13:54:35.20" personId="{00000000-0000-0000-0000-000000000000}" id="{8C227B0F-0868-4A57-8DB8-35F7B0CF4C08}">
    <text xml:space="preserve">Územní studie </text>
  </threadedComment>
  <threadedComment ref="C59" dT="2023-12-07T16:37:51.26" personId="{00000000-0000-0000-0000-000000000000}" id="{8FBE0EF9-3BDB-4213-BAE6-623E04D6379E}">
    <text>Prodej popelnice.</text>
  </threadedComment>
  <threadedComment ref="C60" dT="2023-12-08T23:47:08.89" personId="{00000000-0000-0000-0000-000000000000}" id="{779C14D4-B818-48A4-97E5-155F8051E5CE}">
    <text xml:space="preserve">Svoz různých druhů odpadů. 
</text>
  </threadedComment>
  <threadedComment ref="C61" dT="2023-12-07T16:38:08.21" personId="{00000000-0000-0000-0000-000000000000}" id="{B810AE61-01F8-47B8-8E10-0589B1273FDB}">
    <text xml:space="preserve">Svoz komunálního odpadu vč. velkoobjemu. </text>
  </threadedComment>
  <threadedComment ref="C62" dT="2023-12-07T16:38:19.52" personId="{00000000-0000-0000-0000-000000000000}" id="{E0596825-B080-4203-A0F4-7A07122F57A3}">
    <text xml:space="preserve">Svoz tříděného odpadu. </text>
  </threadedComment>
  <threadedComment ref="F62" dT="2024-11-06T13:57:02.18" personId="{00000000-0000-0000-0000-000000000000}" id="{5E9D9E0C-10F1-4E40-A86C-B469CF5C932C}">
    <text>Odpadový systém - VZ, nastavení</text>
  </threadedComment>
  <threadedComment ref="C63" dT="2023-12-07T16:38:38.13" personId="{00000000-0000-0000-0000-000000000000}" id="{5EA42A20-B5B4-4D9A-878F-6996DC6BA2F0}">
    <text xml:space="preserve">Svoz bioodpadu.
</text>
  </threadedComment>
  <threadedComment ref="C64" dT="2023-12-07T16:37:15.09" personId="{00000000-0000-0000-0000-000000000000}" id="{014FD1A1-CDEA-4E57-9850-235BB173D9A2}">
    <text xml:space="preserve">Pracovní četa - 4 lidi + peníze na údržbu zeleně. 
</text>
  </threadedComment>
  <threadedComment ref="C66" dT="2023-12-07T16:36:52.02" personId="{00000000-0000-0000-0000-000000000000}" id="{A4655AC9-3404-47CD-9037-01EB0668EF94}">
    <text xml:space="preserve">Žádala DPS Buštěhrad o dar. Dřív se připlácelo, aby přijeli. Dnes neplatíme nic. </text>
  </threadedComment>
  <threadedComment ref="F67" dT="2025-11-27T21:43:17.76" personId="{00000000-0000-0000-0000-000000000000}" id="{A9EA5482-2DC2-48A8-9874-43295A8D3199}">
    <text xml:space="preserve">Dílčí revize.
</text>
  </threadedComment>
  <threadedComment ref="C68" dT="2023-12-07T16:36:23.04" personId="{00000000-0000-0000-0000-000000000000}" id="{D497FFBD-DACC-4E40-82EF-7ED9605D5A1F}">
    <text xml:space="preserve">Toto musí být v rozpočtu ze zákona. </text>
  </threadedComment>
  <threadedComment ref="C70" dT="2023-12-07T16:35:53.87" personId="{00000000-0000-0000-0000-000000000000}" id="{F06346F6-C37B-4B30-8A2A-1EE320CF9E6D}">
    <text xml:space="preserve">Plat starosty (udávaný nařízením vlády), plat místostarostů a odměny zastupitelům. 
</text>
  </threadedComment>
  <threadedComment ref="F70" dT="2024-11-05T10:00:45.84" personId="{00000000-0000-0000-0000-000000000000}" id="{E83FD22E-7ABC-4EA3-B5A6-70344B3D2E90}">
    <text>Starosta + 2 místostarostové á 15 tisíc Kč +zastupitelé + daně</text>
  </threadedComment>
  <threadedComment ref="C73" dT="2023-12-07T16:34:26.14" personId="{00000000-0000-0000-0000-000000000000}" id="{67BC0059-FDE7-4AC0-8A10-02E3F8284A24}">
    <text xml:space="preserve">Činnost úřadu včetně různých poradců, úklidu úřadu, energií na úřad, zaměstnanců úřadu vč. správce majetku. 
2,666 milionu na nákup střední školy. </text>
  </threadedComment>
  <threadedComment ref="F73" dT="2024-11-06T13:47:03.60" personId="{00000000-0000-0000-0000-000000000000}" id="{9460FDFF-9A95-41DD-A057-88ABC4CA103B}">
    <text xml:space="preserve">Provoz obecního úřadu včetně externích služeb, energií a také 2,5 mil. Kč za Areál KŠ
</text>
  </threadedComment>
  <threadedComment ref="C75" dT="2023-12-07T16:33:27.13" personId="{00000000-0000-0000-0000-000000000000}" id="{DF658376-4BDE-408C-B99B-730062BE1E5B}">
    <text>Pojištění obce vč. ZŠ a MŠ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4-11-01T16:33:50.87" personId="{00000000-0000-0000-0000-000000000000}" id="{5956F242-E12A-4FF8-8232-6E318CB39F1F}">
    <text xml:space="preserve">Na základě září 2024.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is.msmt.gov.cz/nepedagogove/" TargetMode="External"/><Relationship Id="rId1" Type="http://schemas.openxmlformats.org/officeDocument/2006/relationships/hyperlink" Target="https://www.poradnaproobce.cz/finance/kalkulacka-rud-2026/stredokluky-539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CE96-9BC0-4F52-BD84-0909D4640BCE}">
  <dimension ref="A1:F92"/>
  <sheetViews>
    <sheetView tabSelected="1" workbookViewId="0">
      <selection sqref="A1:F92"/>
    </sheetView>
  </sheetViews>
  <sheetFormatPr defaultRowHeight="15" x14ac:dyDescent="0.25"/>
  <cols>
    <col min="1" max="1" width="15.85546875" customWidth="1"/>
    <col min="2" max="2" width="31.42578125" customWidth="1"/>
    <col min="3" max="3" width="16.5703125" bestFit="1" customWidth="1"/>
    <col min="4" max="6" width="11.28515625" bestFit="1" customWidth="1"/>
  </cols>
  <sheetData>
    <row r="1" spans="1:6" ht="15.75" x14ac:dyDescent="0.25">
      <c r="A1" s="190"/>
      <c r="B1" s="190"/>
      <c r="C1" s="190"/>
      <c r="D1" s="190"/>
      <c r="E1" s="190"/>
      <c r="F1" s="191"/>
    </row>
    <row r="2" spans="1:6" ht="15.75" x14ac:dyDescent="0.25">
      <c r="A2" s="192" t="s">
        <v>226</v>
      </c>
      <c r="B2" s="192"/>
      <c r="C2" s="192"/>
      <c r="D2" s="192"/>
      <c r="E2" s="192"/>
      <c r="F2" s="191"/>
    </row>
    <row r="3" spans="1:6" ht="114.75" customHeight="1" x14ac:dyDescent="0.25">
      <c r="A3" s="245" t="s">
        <v>344</v>
      </c>
      <c r="B3" s="245"/>
      <c r="C3" s="245"/>
      <c r="D3" s="245"/>
      <c r="E3" s="245"/>
      <c r="F3" s="245"/>
    </row>
    <row r="4" spans="1:6" ht="16.5" thickBot="1" x14ac:dyDescent="0.3">
      <c r="A4" s="192"/>
      <c r="B4" s="193"/>
      <c r="C4" s="192" t="s">
        <v>228</v>
      </c>
      <c r="D4" s="193"/>
      <c r="E4" s="193"/>
      <c r="F4" s="191"/>
    </row>
    <row r="5" spans="1:6" ht="23.25" thickBot="1" x14ac:dyDescent="0.3">
      <c r="A5" s="194" t="s">
        <v>258</v>
      </c>
      <c r="B5" s="195"/>
      <c r="C5" s="195"/>
      <c r="D5" s="195"/>
      <c r="E5" s="195"/>
      <c r="F5" s="196"/>
    </row>
    <row r="6" spans="1:6" ht="63.75" thickBot="1" x14ac:dyDescent="0.3">
      <c r="A6" s="197" t="s">
        <v>12</v>
      </c>
      <c r="B6" s="198" t="s">
        <v>148</v>
      </c>
      <c r="C6" s="199" t="s">
        <v>260</v>
      </c>
      <c r="D6" s="199" t="s">
        <v>261</v>
      </c>
      <c r="E6" s="199" t="s">
        <v>262</v>
      </c>
      <c r="F6" s="200" t="s">
        <v>263</v>
      </c>
    </row>
    <row r="7" spans="1:6" ht="31.5" x14ac:dyDescent="0.25">
      <c r="A7" s="201"/>
      <c r="B7" s="202" t="s">
        <v>229</v>
      </c>
      <c r="C7" s="203">
        <v>33585566</v>
      </c>
      <c r="D7" s="203">
        <v>34400062</v>
      </c>
      <c r="E7" s="203">
        <v>28816654</v>
      </c>
      <c r="F7" s="204">
        <v>45211683</v>
      </c>
    </row>
    <row r="8" spans="1:6" ht="31.5" x14ac:dyDescent="0.25">
      <c r="A8" s="205">
        <v>2310</v>
      </c>
      <c r="B8" s="206" t="s">
        <v>1</v>
      </c>
      <c r="C8" s="207">
        <v>47673</v>
      </c>
      <c r="D8" s="207">
        <v>47673</v>
      </c>
      <c r="E8" s="208">
        <v>0</v>
      </c>
      <c r="F8" s="209">
        <v>47673</v>
      </c>
    </row>
    <row r="9" spans="1:6" ht="94.5" x14ac:dyDescent="0.25">
      <c r="A9" s="205">
        <v>2321</v>
      </c>
      <c r="B9" s="206" t="s">
        <v>2</v>
      </c>
      <c r="C9" s="207">
        <v>262234</v>
      </c>
      <c r="D9" s="207">
        <v>204774</v>
      </c>
      <c r="E9" s="208">
        <v>0</v>
      </c>
      <c r="F9" s="209">
        <v>262234</v>
      </c>
    </row>
    <row r="10" spans="1:6" ht="78.75" x14ac:dyDescent="0.25">
      <c r="A10" s="205">
        <v>2341</v>
      </c>
      <c r="B10" s="206" t="s">
        <v>160</v>
      </c>
      <c r="C10" s="207">
        <v>12000</v>
      </c>
      <c r="D10" s="207">
        <v>9000</v>
      </c>
      <c r="E10" s="210">
        <v>0</v>
      </c>
      <c r="F10" s="209">
        <v>12000</v>
      </c>
    </row>
    <row r="11" spans="1:6" ht="31.5" x14ac:dyDescent="0.25">
      <c r="A11" s="211">
        <v>3111</v>
      </c>
      <c r="B11" s="206" t="s">
        <v>162</v>
      </c>
      <c r="C11" s="210">
        <v>0</v>
      </c>
      <c r="D11" s="207">
        <v>309654</v>
      </c>
      <c r="E11" s="207">
        <v>309654</v>
      </c>
      <c r="F11" s="212">
        <v>0</v>
      </c>
    </row>
    <row r="12" spans="1:6" ht="15.75" x14ac:dyDescent="0.25">
      <c r="A12" s="211">
        <v>3113</v>
      </c>
      <c r="B12" s="210" t="s">
        <v>7</v>
      </c>
      <c r="C12" s="210">
        <v>0</v>
      </c>
      <c r="D12" s="207">
        <v>1288619</v>
      </c>
      <c r="E12" s="207">
        <v>1288619</v>
      </c>
      <c r="F12" s="213">
        <v>0</v>
      </c>
    </row>
    <row r="13" spans="1:6" ht="63" x14ac:dyDescent="0.25">
      <c r="A13" s="205">
        <v>3299</v>
      </c>
      <c r="B13" s="206" t="s">
        <v>165</v>
      </c>
      <c r="C13" s="207">
        <v>6000</v>
      </c>
      <c r="D13" s="207">
        <v>6000</v>
      </c>
      <c r="E13" s="207">
        <v>3700</v>
      </c>
      <c r="F13" s="209">
        <v>6000</v>
      </c>
    </row>
    <row r="14" spans="1:6" ht="126" x14ac:dyDescent="0.25">
      <c r="A14" s="211">
        <v>3399</v>
      </c>
      <c r="B14" s="206" t="s">
        <v>173</v>
      </c>
      <c r="C14" s="210">
        <v>0</v>
      </c>
      <c r="D14" s="207">
        <v>3000</v>
      </c>
      <c r="E14" s="207">
        <v>1116</v>
      </c>
      <c r="F14" s="209">
        <v>3000</v>
      </c>
    </row>
    <row r="15" spans="1:6" ht="63" x14ac:dyDescent="0.25">
      <c r="A15" s="205">
        <v>3429</v>
      </c>
      <c r="B15" s="206" t="s">
        <v>181</v>
      </c>
      <c r="C15" s="207">
        <v>106000</v>
      </c>
      <c r="D15" s="207">
        <v>116000</v>
      </c>
      <c r="E15" s="207">
        <v>62124</v>
      </c>
      <c r="F15" s="212">
        <v>0</v>
      </c>
    </row>
    <row r="16" spans="1:6" ht="47.25" x14ac:dyDescent="0.25">
      <c r="A16" s="205">
        <v>3612</v>
      </c>
      <c r="B16" s="206" t="s">
        <v>3</v>
      </c>
      <c r="C16" s="207">
        <v>1300000</v>
      </c>
      <c r="D16" s="207">
        <v>1470000</v>
      </c>
      <c r="E16" s="207">
        <v>1366991</v>
      </c>
      <c r="F16" s="209">
        <v>1500000</v>
      </c>
    </row>
    <row r="17" spans="1:6" ht="63" x14ac:dyDescent="0.25">
      <c r="A17" s="211">
        <v>3613</v>
      </c>
      <c r="B17" s="206" t="s">
        <v>230</v>
      </c>
      <c r="C17" s="207">
        <v>180000</v>
      </c>
      <c r="D17" s="207">
        <v>215150</v>
      </c>
      <c r="E17" s="207">
        <v>203450</v>
      </c>
      <c r="F17" s="209">
        <v>180000</v>
      </c>
    </row>
    <row r="18" spans="1:6" ht="31.5" x14ac:dyDescent="0.25">
      <c r="A18" s="211">
        <v>3631</v>
      </c>
      <c r="B18" s="206" t="s">
        <v>184</v>
      </c>
      <c r="C18" s="210">
        <v>0</v>
      </c>
      <c r="D18" s="210">
        <v>0</v>
      </c>
      <c r="E18" s="210">
        <v>0</v>
      </c>
      <c r="F18" s="212">
        <v>0</v>
      </c>
    </row>
    <row r="19" spans="1:6" ht="110.25" x14ac:dyDescent="0.25">
      <c r="A19" s="205">
        <v>3639</v>
      </c>
      <c r="B19" s="206" t="s">
        <v>188</v>
      </c>
      <c r="C19" s="207">
        <v>10000</v>
      </c>
      <c r="D19" s="207">
        <v>7000</v>
      </c>
      <c r="E19" s="210">
        <v>0</v>
      </c>
      <c r="F19" s="209">
        <v>10000</v>
      </c>
    </row>
    <row r="20" spans="1:6" ht="78.75" x14ac:dyDescent="0.25">
      <c r="A20" s="205">
        <v>3722</v>
      </c>
      <c r="B20" s="206" t="s">
        <v>192</v>
      </c>
      <c r="C20" s="207">
        <v>5000</v>
      </c>
      <c r="D20" s="207">
        <v>11000</v>
      </c>
      <c r="E20" s="207">
        <v>8460</v>
      </c>
      <c r="F20" s="209">
        <v>5000</v>
      </c>
    </row>
    <row r="21" spans="1:6" ht="157.5" x14ac:dyDescent="0.25">
      <c r="A21" s="211">
        <v>3723</v>
      </c>
      <c r="B21" s="206" t="s">
        <v>10</v>
      </c>
      <c r="C21" s="210">
        <v>0</v>
      </c>
      <c r="D21" s="210">
        <v>500</v>
      </c>
      <c r="E21" s="210">
        <v>60</v>
      </c>
      <c r="F21" s="212">
        <v>500</v>
      </c>
    </row>
    <row r="22" spans="1:6" ht="94.5" x14ac:dyDescent="0.25">
      <c r="A22" s="205">
        <v>3726</v>
      </c>
      <c r="B22" s="206" t="s">
        <v>195</v>
      </c>
      <c r="C22" s="207">
        <v>270000</v>
      </c>
      <c r="D22" s="207">
        <v>369500</v>
      </c>
      <c r="E22" s="207">
        <v>273673</v>
      </c>
      <c r="F22" s="209">
        <v>370000</v>
      </c>
    </row>
    <row r="23" spans="1:6" ht="47.25" x14ac:dyDescent="0.25">
      <c r="A23" s="205">
        <v>3729</v>
      </c>
      <c r="B23" s="206" t="s">
        <v>232</v>
      </c>
      <c r="C23" s="207">
        <v>80000</v>
      </c>
      <c r="D23" s="207">
        <v>80000</v>
      </c>
      <c r="E23" s="207">
        <v>77200</v>
      </c>
      <c r="F23" s="209">
        <v>80000</v>
      </c>
    </row>
    <row r="24" spans="1:6" ht="78.75" x14ac:dyDescent="0.25">
      <c r="A24" s="205">
        <v>3745</v>
      </c>
      <c r="B24" s="206" t="s">
        <v>4</v>
      </c>
      <c r="C24" s="210">
        <v>0</v>
      </c>
      <c r="D24" s="207">
        <v>71525</v>
      </c>
      <c r="E24" s="207">
        <v>71525</v>
      </c>
      <c r="F24" s="212">
        <v>0</v>
      </c>
    </row>
    <row r="25" spans="1:6" ht="63" x14ac:dyDescent="0.25">
      <c r="A25" s="211">
        <v>5512</v>
      </c>
      <c r="B25" s="206" t="s">
        <v>11</v>
      </c>
      <c r="C25" s="210">
        <v>0</v>
      </c>
      <c r="D25" s="210">
        <v>0</v>
      </c>
      <c r="E25" s="210">
        <v>0</v>
      </c>
      <c r="F25" s="212">
        <v>0</v>
      </c>
    </row>
    <row r="26" spans="1:6" ht="47.25" x14ac:dyDescent="0.25">
      <c r="A26" s="205">
        <v>6171</v>
      </c>
      <c r="B26" s="206" t="s">
        <v>5</v>
      </c>
      <c r="C26" s="207">
        <v>800000</v>
      </c>
      <c r="D26" s="207">
        <v>897475</v>
      </c>
      <c r="E26" s="207">
        <v>286216</v>
      </c>
      <c r="F26" s="209">
        <v>300000</v>
      </c>
    </row>
    <row r="27" spans="1:6" ht="78.75" x14ac:dyDescent="0.25">
      <c r="A27" s="205">
        <v>6221</v>
      </c>
      <c r="B27" s="206" t="s">
        <v>209</v>
      </c>
      <c r="C27" s="210">
        <v>0</v>
      </c>
      <c r="D27" s="210">
        <v>0</v>
      </c>
      <c r="E27" s="210">
        <v>0</v>
      </c>
      <c r="F27" s="212">
        <v>0</v>
      </c>
    </row>
    <row r="28" spans="1:6" ht="78.75" x14ac:dyDescent="0.25">
      <c r="A28" s="205">
        <v>6409</v>
      </c>
      <c r="B28" s="206" t="s">
        <v>213</v>
      </c>
      <c r="C28" s="210">
        <v>0</v>
      </c>
      <c r="D28" s="210">
        <v>0</v>
      </c>
      <c r="E28" s="210">
        <v>0</v>
      </c>
      <c r="F28" s="212">
        <v>0</v>
      </c>
    </row>
    <row r="29" spans="1:6" ht="111" thickBot="1" x14ac:dyDescent="0.3">
      <c r="A29" s="214">
        <v>6330</v>
      </c>
      <c r="B29" s="215" t="s">
        <v>254</v>
      </c>
      <c r="C29" s="216">
        <v>0</v>
      </c>
      <c r="D29" s="216">
        <v>0</v>
      </c>
      <c r="E29" s="217">
        <v>250000</v>
      </c>
      <c r="F29" s="218"/>
    </row>
    <row r="30" spans="1:6" ht="16.5" thickBot="1" x14ac:dyDescent="0.3">
      <c r="A30" s="219" t="s">
        <v>233</v>
      </c>
      <c r="B30" s="220"/>
      <c r="C30" s="221">
        <v>36664473</v>
      </c>
      <c r="D30" s="221">
        <v>39506932</v>
      </c>
      <c r="E30" s="221">
        <v>33019443</v>
      </c>
      <c r="F30" s="222">
        <v>47988090</v>
      </c>
    </row>
    <row r="31" spans="1:6" x14ac:dyDescent="0.25">
      <c r="A31" s="223"/>
      <c r="B31" s="223"/>
      <c r="C31" s="223"/>
      <c r="D31" s="223"/>
      <c r="E31" s="223"/>
      <c r="F31" s="223"/>
    </row>
    <row r="32" spans="1:6" ht="16.5" thickBot="1" x14ac:dyDescent="0.3">
      <c r="A32" s="192"/>
      <c r="B32" s="193"/>
      <c r="C32" s="192" t="s">
        <v>228</v>
      </c>
      <c r="D32" s="223"/>
      <c r="E32" s="223"/>
      <c r="F32" s="223"/>
    </row>
    <row r="33" spans="1:6" ht="23.25" thickBot="1" x14ac:dyDescent="0.3">
      <c r="A33" s="224" t="s">
        <v>259</v>
      </c>
      <c r="B33" s="225"/>
      <c r="C33" s="225"/>
      <c r="D33" s="225"/>
      <c r="E33" s="225"/>
      <c r="F33" s="226"/>
    </row>
    <row r="34" spans="1:6" ht="63.75" thickBot="1" x14ac:dyDescent="0.3">
      <c r="A34" s="197" t="s">
        <v>12</v>
      </c>
      <c r="B34" s="198" t="s">
        <v>148</v>
      </c>
      <c r="C34" s="199" t="s">
        <v>260</v>
      </c>
      <c r="D34" s="199" t="s">
        <v>261</v>
      </c>
      <c r="E34" s="199" t="s">
        <v>262</v>
      </c>
      <c r="F34" s="200" t="s">
        <v>263</v>
      </c>
    </row>
    <row r="35" spans="1:6" ht="173.25" x14ac:dyDescent="0.25">
      <c r="A35" s="201">
        <v>1014</v>
      </c>
      <c r="B35" s="202" t="s">
        <v>150</v>
      </c>
      <c r="C35" s="203">
        <v>15000</v>
      </c>
      <c r="D35" s="203">
        <v>35000</v>
      </c>
      <c r="E35" s="203">
        <v>26137</v>
      </c>
      <c r="F35" s="204">
        <v>35000</v>
      </c>
    </row>
    <row r="36" spans="1:6" ht="15.75" x14ac:dyDescent="0.25">
      <c r="A36" s="205">
        <v>2212</v>
      </c>
      <c r="B36" s="206" t="s">
        <v>6</v>
      </c>
      <c r="C36" s="207">
        <v>500000</v>
      </c>
      <c r="D36" s="207">
        <v>10780000</v>
      </c>
      <c r="E36" s="207">
        <v>278429</v>
      </c>
      <c r="F36" s="209">
        <v>18300000</v>
      </c>
    </row>
    <row r="37" spans="1:6" ht="94.5" x14ac:dyDescent="0.25">
      <c r="A37" s="205">
        <v>2219</v>
      </c>
      <c r="B37" s="206" t="s">
        <v>0</v>
      </c>
      <c r="C37" s="207">
        <v>700000</v>
      </c>
      <c r="D37" s="207">
        <v>1900000</v>
      </c>
      <c r="E37" s="210">
        <v>0</v>
      </c>
      <c r="F37" s="212">
        <v>0</v>
      </c>
    </row>
    <row r="38" spans="1:6" ht="63" x14ac:dyDescent="0.25">
      <c r="A38" s="205">
        <v>2221</v>
      </c>
      <c r="B38" s="206" t="s">
        <v>154</v>
      </c>
      <c r="C38" s="210">
        <v>0</v>
      </c>
      <c r="D38" s="210">
        <v>0</v>
      </c>
      <c r="E38" s="210">
        <v>0</v>
      </c>
      <c r="F38" s="212">
        <v>0</v>
      </c>
    </row>
    <row r="39" spans="1:6" ht="110.25" x14ac:dyDescent="0.25">
      <c r="A39" s="205">
        <v>2292</v>
      </c>
      <c r="B39" s="206" t="s">
        <v>156</v>
      </c>
      <c r="C39" s="207">
        <v>130000</v>
      </c>
      <c r="D39" s="207">
        <v>130000</v>
      </c>
      <c r="E39" s="207">
        <v>111536</v>
      </c>
      <c r="F39" s="209">
        <v>130000</v>
      </c>
    </row>
    <row r="40" spans="1:6" ht="31.5" x14ac:dyDescent="0.25">
      <c r="A40" s="205">
        <v>2310</v>
      </c>
      <c r="B40" s="206" t="s">
        <v>1</v>
      </c>
      <c r="C40" s="207">
        <v>1200000</v>
      </c>
      <c r="D40" s="207">
        <v>1700000</v>
      </c>
      <c r="E40" s="207">
        <v>32649</v>
      </c>
      <c r="F40" s="209">
        <v>150000</v>
      </c>
    </row>
    <row r="41" spans="1:6" ht="94.5" x14ac:dyDescent="0.25">
      <c r="A41" s="205">
        <v>2321</v>
      </c>
      <c r="B41" s="206" t="s">
        <v>2</v>
      </c>
      <c r="C41" s="207">
        <v>2600000</v>
      </c>
      <c r="D41" s="207">
        <v>2835000</v>
      </c>
      <c r="E41" s="207">
        <v>550194</v>
      </c>
      <c r="F41" s="209">
        <v>7800000</v>
      </c>
    </row>
    <row r="42" spans="1:6" ht="78.75" x14ac:dyDescent="0.25">
      <c r="A42" s="205">
        <v>2341</v>
      </c>
      <c r="B42" s="206" t="s">
        <v>160</v>
      </c>
      <c r="C42" s="207">
        <v>50000</v>
      </c>
      <c r="D42" s="207">
        <v>50000</v>
      </c>
      <c r="E42" s="210">
        <v>0</v>
      </c>
      <c r="F42" s="209">
        <v>50000</v>
      </c>
    </row>
    <row r="43" spans="1:6" ht="31.5" x14ac:dyDescent="0.25">
      <c r="A43" s="205">
        <v>3111</v>
      </c>
      <c r="B43" s="206" t="s">
        <v>162</v>
      </c>
      <c r="C43" s="207">
        <v>1400000</v>
      </c>
      <c r="D43" s="207">
        <v>1325000</v>
      </c>
      <c r="E43" s="207">
        <v>1151926</v>
      </c>
      <c r="F43" s="209">
        <v>2578431</v>
      </c>
    </row>
    <row r="44" spans="1:6" ht="31.5" x14ac:dyDescent="0.25">
      <c r="A44" s="205">
        <v>3113</v>
      </c>
      <c r="B44" s="206" t="s">
        <v>7</v>
      </c>
      <c r="C44" s="207">
        <v>6450000</v>
      </c>
      <c r="D44" s="207">
        <v>10753374</v>
      </c>
      <c r="E44" s="207">
        <v>9752076</v>
      </c>
      <c r="F44" s="209">
        <v>13144000</v>
      </c>
    </row>
    <row r="45" spans="1:6" ht="47.25" x14ac:dyDescent="0.25">
      <c r="A45" s="211">
        <v>3141</v>
      </c>
      <c r="B45" s="206" t="s">
        <v>255</v>
      </c>
      <c r="C45" s="210">
        <v>0</v>
      </c>
      <c r="D45" s="207">
        <v>501449</v>
      </c>
      <c r="E45" s="207">
        <v>225325</v>
      </c>
      <c r="F45" s="209">
        <v>1150000</v>
      </c>
    </row>
    <row r="46" spans="1:6" ht="63" x14ac:dyDescent="0.25">
      <c r="A46" s="205">
        <v>3299</v>
      </c>
      <c r="B46" s="206" t="s">
        <v>165</v>
      </c>
      <c r="C46" s="207">
        <v>6000</v>
      </c>
      <c r="D46" s="207">
        <v>6000</v>
      </c>
      <c r="E46" s="207">
        <v>1600</v>
      </c>
      <c r="F46" s="209">
        <v>6000</v>
      </c>
    </row>
    <row r="47" spans="1:6" ht="47.25" x14ac:dyDescent="0.25">
      <c r="A47" s="205">
        <v>3319</v>
      </c>
      <c r="B47" s="206" t="s">
        <v>167</v>
      </c>
      <c r="C47" s="207">
        <v>40000</v>
      </c>
      <c r="D47" s="207">
        <v>40000</v>
      </c>
      <c r="E47" s="210">
        <v>0</v>
      </c>
      <c r="F47" s="209">
        <v>30000</v>
      </c>
    </row>
    <row r="48" spans="1:6" ht="220.5" x14ac:dyDescent="0.25">
      <c r="A48" s="205">
        <v>3326</v>
      </c>
      <c r="B48" s="206" t="s">
        <v>169</v>
      </c>
      <c r="C48" s="210">
        <v>0</v>
      </c>
      <c r="D48" s="210">
        <v>0</v>
      </c>
      <c r="E48" s="210">
        <v>0</v>
      </c>
      <c r="F48" s="212">
        <v>0</v>
      </c>
    </row>
    <row r="49" spans="1:6" ht="94.5" x14ac:dyDescent="0.25">
      <c r="A49" s="205">
        <v>3349</v>
      </c>
      <c r="B49" s="206" t="s">
        <v>171</v>
      </c>
      <c r="C49" s="207">
        <v>100000</v>
      </c>
      <c r="D49" s="207">
        <v>86000</v>
      </c>
      <c r="E49" s="207">
        <v>85294</v>
      </c>
      <c r="F49" s="209">
        <v>100000</v>
      </c>
    </row>
    <row r="50" spans="1:6" ht="126" x14ac:dyDescent="0.25">
      <c r="A50" s="205">
        <v>3399</v>
      </c>
      <c r="B50" s="206" t="s">
        <v>173</v>
      </c>
      <c r="C50" s="207">
        <v>140000</v>
      </c>
      <c r="D50" s="207">
        <v>154000</v>
      </c>
      <c r="E50" s="207">
        <v>121867</v>
      </c>
      <c r="F50" s="209">
        <v>150000</v>
      </c>
    </row>
    <row r="51" spans="1:6" ht="78.75" x14ac:dyDescent="0.25">
      <c r="A51" s="205">
        <v>3412</v>
      </c>
      <c r="B51" s="206" t="s">
        <v>175</v>
      </c>
      <c r="C51" s="207">
        <v>30000</v>
      </c>
      <c r="D51" s="207">
        <v>53100</v>
      </c>
      <c r="E51" s="207">
        <v>23590</v>
      </c>
      <c r="F51" s="209">
        <v>50000</v>
      </c>
    </row>
    <row r="52" spans="1:6" ht="47.25" x14ac:dyDescent="0.25">
      <c r="A52" s="205">
        <v>3419</v>
      </c>
      <c r="B52" s="206" t="s">
        <v>177</v>
      </c>
      <c r="C52" s="207">
        <v>400000</v>
      </c>
      <c r="D52" s="207">
        <v>780410</v>
      </c>
      <c r="E52" s="207">
        <v>778149</v>
      </c>
      <c r="F52" s="209">
        <v>50000</v>
      </c>
    </row>
    <row r="53" spans="1:6" ht="78.75" x14ac:dyDescent="0.25">
      <c r="A53" s="205">
        <v>3421</v>
      </c>
      <c r="B53" s="206" t="s">
        <v>179</v>
      </c>
      <c r="C53" s="207">
        <v>50000</v>
      </c>
      <c r="D53" s="207">
        <v>4987</v>
      </c>
      <c r="E53" s="210">
        <v>0</v>
      </c>
      <c r="F53" s="209">
        <v>50000</v>
      </c>
    </row>
    <row r="54" spans="1:6" ht="63" x14ac:dyDescent="0.25">
      <c r="A54" s="205">
        <v>3429</v>
      </c>
      <c r="B54" s="206" t="s">
        <v>181</v>
      </c>
      <c r="C54" s="207">
        <v>300000</v>
      </c>
      <c r="D54" s="207">
        <v>2311000</v>
      </c>
      <c r="E54" s="207">
        <v>1973759</v>
      </c>
      <c r="F54" s="209">
        <v>1500000</v>
      </c>
    </row>
    <row r="55" spans="1:6" ht="47.25" x14ac:dyDescent="0.25">
      <c r="A55" s="205">
        <v>3612</v>
      </c>
      <c r="B55" s="206" t="s">
        <v>3</v>
      </c>
      <c r="C55" s="207">
        <v>1700000</v>
      </c>
      <c r="D55" s="207">
        <v>1499000</v>
      </c>
      <c r="E55" s="207">
        <v>583323</v>
      </c>
      <c r="F55" s="209">
        <v>3270000</v>
      </c>
    </row>
    <row r="56" spans="1:6" ht="63" x14ac:dyDescent="0.25">
      <c r="A56" s="211">
        <v>3613</v>
      </c>
      <c r="B56" s="206" t="s">
        <v>230</v>
      </c>
      <c r="C56" s="210"/>
      <c r="D56" s="210"/>
      <c r="E56" s="207">
        <v>-6498</v>
      </c>
      <c r="F56" s="212">
        <v>0</v>
      </c>
    </row>
    <row r="57" spans="1:6" ht="31.5" x14ac:dyDescent="0.25">
      <c r="A57" s="205">
        <v>3631</v>
      </c>
      <c r="B57" s="206" t="s">
        <v>184</v>
      </c>
      <c r="C57" s="207">
        <v>5300000</v>
      </c>
      <c r="D57" s="207">
        <v>3031138</v>
      </c>
      <c r="E57" s="207">
        <v>585533</v>
      </c>
      <c r="F57" s="209">
        <v>3700000</v>
      </c>
    </row>
    <row r="58" spans="1:6" ht="31.5" x14ac:dyDescent="0.25">
      <c r="A58" s="205">
        <v>3635</v>
      </c>
      <c r="B58" s="206" t="s">
        <v>8</v>
      </c>
      <c r="C58" s="207">
        <v>300000</v>
      </c>
      <c r="D58" s="207">
        <v>300000</v>
      </c>
      <c r="E58" s="207">
        <v>16000</v>
      </c>
      <c r="F58" s="209">
        <v>150000</v>
      </c>
    </row>
    <row r="59" spans="1:6" ht="31.5" x14ac:dyDescent="0.25">
      <c r="A59" s="205">
        <v>3636</v>
      </c>
      <c r="B59" s="206" t="s">
        <v>9</v>
      </c>
      <c r="C59" s="207">
        <v>800000</v>
      </c>
      <c r="D59" s="207">
        <v>1361196</v>
      </c>
      <c r="E59" s="207">
        <v>710932</v>
      </c>
      <c r="F59" s="209">
        <v>200000</v>
      </c>
    </row>
    <row r="60" spans="1:6" ht="110.25" x14ac:dyDescent="0.25">
      <c r="A60" s="205">
        <v>3639</v>
      </c>
      <c r="B60" s="206" t="s">
        <v>188</v>
      </c>
      <c r="C60" s="207">
        <v>5000</v>
      </c>
      <c r="D60" s="207">
        <v>5000</v>
      </c>
      <c r="E60" s="210">
        <v>0</v>
      </c>
      <c r="F60" s="209">
        <v>5000</v>
      </c>
    </row>
    <row r="61" spans="1:6" ht="78.75" x14ac:dyDescent="0.25">
      <c r="A61" s="205">
        <v>3721</v>
      </c>
      <c r="B61" s="206" t="s">
        <v>190</v>
      </c>
      <c r="C61" s="207">
        <v>150000</v>
      </c>
      <c r="D61" s="207">
        <v>111524</v>
      </c>
      <c r="E61" s="207">
        <v>23474</v>
      </c>
      <c r="F61" s="209">
        <v>150000</v>
      </c>
    </row>
    <row r="62" spans="1:6" ht="78.75" x14ac:dyDescent="0.25">
      <c r="A62" s="205">
        <v>3722</v>
      </c>
      <c r="B62" s="206" t="s">
        <v>192</v>
      </c>
      <c r="C62" s="207">
        <v>1600000</v>
      </c>
      <c r="D62" s="207">
        <v>1605500</v>
      </c>
      <c r="E62" s="207">
        <v>1511899</v>
      </c>
      <c r="F62" s="209">
        <v>2000000</v>
      </c>
    </row>
    <row r="63" spans="1:6" ht="157.5" x14ac:dyDescent="0.25">
      <c r="A63" s="205">
        <v>3723</v>
      </c>
      <c r="B63" s="206" t="s">
        <v>10</v>
      </c>
      <c r="C63" s="207">
        <v>1030000</v>
      </c>
      <c r="D63" s="207">
        <v>1030000</v>
      </c>
      <c r="E63" s="207">
        <v>699648</v>
      </c>
      <c r="F63" s="209">
        <v>1000000</v>
      </c>
    </row>
    <row r="64" spans="1:6" ht="94.5" x14ac:dyDescent="0.25">
      <c r="A64" s="205">
        <v>3726</v>
      </c>
      <c r="B64" s="206" t="s">
        <v>195</v>
      </c>
      <c r="C64" s="207">
        <v>300000</v>
      </c>
      <c r="D64" s="207">
        <v>300000</v>
      </c>
      <c r="E64" s="207">
        <v>257059</v>
      </c>
      <c r="F64" s="209">
        <v>400000</v>
      </c>
    </row>
    <row r="65" spans="1:6" ht="78.75" x14ac:dyDescent="0.25">
      <c r="A65" s="205">
        <v>3745</v>
      </c>
      <c r="B65" s="206" t="s">
        <v>4</v>
      </c>
      <c r="C65" s="207">
        <v>6000000</v>
      </c>
      <c r="D65" s="207">
        <v>4505500</v>
      </c>
      <c r="E65" s="207">
        <v>3629063</v>
      </c>
      <c r="F65" s="209">
        <v>7100000</v>
      </c>
    </row>
    <row r="66" spans="1:6" ht="78.75" x14ac:dyDescent="0.25">
      <c r="A66" s="205">
        <v>3749</v>
      </c>
      <c r="B66" s="206" t="s">
        <v>198</v>
      </c>
      <c r="C66" s="210">
        <v>0</v>
      </c>
      <c r="D66" s="210">
        <v>0</v>
      </c>
      <c r="E66" s="210">
        <v>0</v>
      </c>
      <c r="F66" s="212">
        <v>0</v>
      </c>
    </row>
    <row r="67" spans="1:6" ht="157.5" x14ac:dyDescent="0.25">
      <c r="A67" s="205">
        <v>4351</v>
      </c>
      <c r="B67" s="206" t="s">
        <v>200</v>
      </c>
      <c r="C67" s="210">
        <v>0</v>
      </c>
      <c r="D67" s="210">
        <v>0</v>
      </c>
      <c r="E67" s="210">
        <v>0</v>
      </c>
      <c r="F67" s="212">
        <v>0</v>
      </c>
    </row>
    <row r="68" spans="1:6" ht="94.5" x14ac:dyDescent="0.25">
      <c r="A68" s="211">
        <v>4379</v>
      </c>
      <c r="B68" s="206" t="s">
        <v>256</v>
      </c>
      <c r="C68" s="210">
        <v>0</v>
      </c>
      <c r="D68" s="207">
        <v>24000</v>
      </c>
      <c r="E68" s="207">
        <v>9000</v>
      </c>
      <c r="F68" s="209">
        <v>24000</v>
      </c>
    </row>
    <row r="69" spans="1:6" ht="31.5" x14ac:dyDescent="0.25">
      <c r="A69" s="205">
        <v>5213</v>
      </c>
      <c r="B69" s="206" t="s">
        <v>202</v>
      </c>
      <c r="C69" s="207">
        <v>30000</v>
      </c>
      <c r="D69" s="207">
        <v>30000</v>
      </c>
      <c r="E69" s="210">
        <v>0</v>
      </c>
      <c r="F69" s="209">
        <v>30000</v>
      </c>
    </row>
    <row r="70" spans="1:6" ht="63" x14ac:dyDescent="0.25">
      <c r="A70" s="205">
        <v>5512</v>
      </c>
      <c r="B70" s="206" t="s">
        <v>11</v>
      </c>
      <c r="C70" s="207">
        <v>1550000</v>
      </c>
      <c r="D70" s="207">
        <v>1550000</v>
      </c>
      <c r="E70" s="207">
        <v>704536</v>
      </c>
      <c r="F70" s="209">
        <v>550000</v>
      </c>
    </row>
    <row r="71" spans="1:6" ht="31.5" x14ac:dyDescent="0.25">
      <c r="A71" s="205">
        <v>6112</v>
      </c>
      <c r="B71" s="206" t="s">
        <v>205</v>
      </c>
      <c r="C71" s="207">
        <v>1700000</v>
      </c>
      <c r="D71" s="207">
        <v>1647000</v>
      </c>
      <c r="E71" s="207">
        <v>1373982</v>
      </c>
      <c r="F71" s="209">
        <v>1700000</v>
      </c>
    </row>
    <row r="72" spans="1:6" ht="47.25" x14ac:dyDescent="0.25">
      <c r="A72" s="211">
        <v>6114</v>
      </c>
      <c r="B72" s="206" t="s">
        <v>257</v>
      </c>
      <c r="C72" s="210">
        <v>0</v>
      </c>
      <c r="D72" s="207">
        <v>38319</v>
      </c>
      <c r="E72" s="207">
        <v>24539</v>
      </c>
      <c r="F72" s="212">
        <v>0</v>
      </c>
    </row>
    <row r="73" spans="1:6" ht="110.25" x14ac:dyDescent="0.25">
      <c r="A73" s="211">
        <v>6115</v>
      </c>
      <c r="B73" s="206" t="s">
        <v>206</v>
      </c>
      <c r="C73" s="210">
        <v>0</v>
      </c>
      <c r="D73" s="210">
        <v>0</v>
      </c>
      <c r="E73" s="210">
        <v>0</v>
      </c>
      <c r="F73" s="209">
        <v>40000</v>
      </c>
    </row>
    <row r="74" spans="1:6" ht="47.25" x14ac:dyDescent="0.25">
      <c r="A74" s="205">
        <v>6171</v>
      </c>
      <c r="B74" s="206" t="s">
        <v>5</v>
      </c>
      <c r="C74" s="207">
        <v>6500000</v>
      </c>
      <c r="D74" s="207">
        <v>7135689</v>
      </c>
      <c r="E74" s="207">
        <v>6625892</v>
      </c>
      <c r="F74" s="209">
        <v>9200000</v>
      </c>
    </row>
    <row r="75" spans="1:6" ht="78.75" x14ac:dyDescent="0.25">
      <c r="A75" s="205">
        <v>6221</v>
      </c>
      <c r="B75" s="206" t="s">
        <v>209</v>
      </c>
      <c r="C75" s="210">
        <v>0</v>
      </c>
      <c r="D75" s="210">
        <v>0</v>
      </c>
      <c r="E75" s="210">
        <v>0</v>
      </c>
      <c r="F75" s="212">
        <v>0</v>
      </c>
    </row>
    <row r="76" spans="1:6" ht="63" x14ac:dyDescent="0.25">
      <c r="A76" s="205">
        <v>6320</v>
      </c>
      <c r="B76" s="206" t="s">
        <v>211</v>
      </c>
      <c r="C76" s="207">
        <v>480000</v>
      </c>
      <c r="D76" s="207">
        <v>551000</v>
      </c>
      <c r="E76" s="207">
        <v>546883</v>
      </c>
      <c r="F76" s="209">
        <v>600000</v>
      </c>
    </row>
    <row r="77" spans="1:6" ht="78.75" x14ac:dyDescent="0.25">
      <c r="A77" s="205">
        <v>6409</v>
      </c>
      <c r="B77" s="206" t="s">
        <v>213</v>
      </c>
      <c r="C77" s="210">
        <v>0</v>
      </c>
      <c r="D77" s="210">
        <v>0</v>
      </c>
      <c r="E77" s="210">
        <v>0</v>
      </c>
      <c r="F77" s="212">
        <v>0</v>
      </c>
    </row>
    <row r="78" spans="1:6" ht="111" thickBot="1" x14ac:dyDescent="0.3">
      <c r="A78" s="214">
        <v>6330</v>
      </c>
      <c r="B78" s="215" t="s">
        <v>254</v>
      </c>
      <c r="C78" s="216">
        <v>0</v>
      </c>
      <c r="D78" s="216">
        <v>0</v>
      </c>
      <c r="E78" s="217">
        <v>250000</v>
      </c>
      <c r="F78" s="218"/>
    </row>
    <row r="79" spans="1:6" ht="16.5" thickBot="1" x14ac:dyDescent="0.3">
      <c r="A79" s="219" t="s">
        <v>214</v>
      </c>
      <c r="B79" s="220"/>
      <c r="C79" s="221">
        <v>41556000</v>
      </c>
      <c r="D79" s="221">
        <v>58170186</v>
      </c>
      <c r="E79" s="221">
        <v>32657796</v>
      </c>
      <c r="F79" s="222">
        <v>75392431</v>
      </c>
    </row>
    <row r="80" spans="1:6" ht="16.5" thickBot="1" x14ac:dyDescent="0.3">
      <c r="A80" s="246"/>
      <c r="B80" s="247"/>
      <c r="C80" s="227"/>
      <c r="D80" s="227"/>
      <c r="E80" s="227"/>
      <c r="F80" s="228"/>
    </row>
    <row r="81" spans="1:6" ht="15.75" x14ac:dyDescent="0.25">
      <c r="A81" s="248" t="s">
        <v>225</v>
      </c>
      <c r="B81" s="249"/>
      <c r="C81" s="229">
        <v>41556000</v>
      </c>
      <c r="D81" s="229">
        <v>58170186</v>
      </c>
      <c r="E81" s="229">
        <v>32657796</v>
      </c>
      <c r="F81" s="230">
        <v>75392431</v>
      </c>
    </row>
    <row r="82" spans="1:6" ht="15.75" x14ac:dyDescent="0.25">
      <c r="A82" s="250" t="s">
        <v>234</v>
      </c>
      <c r="B82" s="251"/>
      <c r="C82" s="231">
        <v>36664473</v>
      </c>
      <c r="D82" s="231">
        <v>39506932</v>
      </c>
      <c r="E82" s="231">
        <v>33019443</v>
      </c>
      <c r="F82" s="232">
        <v>47988090</v>
      </c>
    </row>
    <row r="83" spans="1:6" ht="16.5" thickBot="1" x14ac:dyDescent="0.3">
      <c r="A83" s="252" t="s">
        <v>235</v>
      </c>
      <c r="B83" s="253"/>
      <c r="C83" s="233">
        <v>4891527</v>
      </c>
      <c r="D83" s="233">
        <v>18663254</v>
      </c>
      <c r="E83" s="233">
        <v>-361647</v>
      </c>
      <c r="F83" s="234">
        <v>27404341</v>
      </c>
    </row>
    <row r="84" spans="1:6" ht="15.75" x14ac:dyDescent="0.25">
      <c r="A84" s="191" t="s">
        <v>345</v>
      </c>
      <c r="B84" s="191"/>
      <c r="C84" s="191"/>
      <c r="D84" s="191"/>
      <c r="E84" s="191"/>
      <c r="F84" s="191"/>
    </row>
    <row r="85" spans="1:6" ht="16.5" thickBot="1" x14ac:dyDescent="0.3">
      <c r="A85" s="191"/>
      <c r="B85" s="191"/>
      <c r="C85" s="191"/>
      <c r="D85" s="191"/>
      <c r="E85" s="191"/>
      <c r="F85" s="191"/>
    </row>
    <row r="86" spans="1:6" ht="15.75" x14ac:dyDescent="0.25">
      <c r="A86" s="235" t="s">
        <v>346</v>
      </c>
      <c r="B86" s="236"/>
      <c r="C86" s="237"/>
      <c r="D86" s="238">
        <v>12500000</v>
      </c>
      <c r="E86" s="191"/>
      <c r="F86" s="191"/>
    </row>
    <row r="87" spans="1:6" ht="16.5" thickBot="1" x14ac:dyDescent="0.3">
      <c r="A87" s="239" t="s">
        <v>347</v>
      </c>
      <c r="B87" s="191"/>
      <c r="C87" s="223"/>
      <c r="D87" s="240">
        <v>18000000</v>
      </c>
      <c r="E87" s="241"/>
      <c r="F87" s="191"/>
    </row>
    <row r="88" spans="1:6" ht="16.5" thickBot="1" x14ac:dyDescent="0.3">
      <c r="A88" s="242" t="s">
        <v>348</v>
      </c>
      <c r="B88" s="243"/>
      <c r="C88" s="243"/>
      <c r="D88" s="244">
        <v>3095659</v>
      </c>
      <c r="E88" s="223"/>
      <c r="F88" s="191"/>
    </row>
    <row r="89" spans="1:6" ht="15.75" x14ac:dyDescent="0.25">
      <c r="A89" s="223"/>
      <c r="B89" s="223"/>
      <c r="C89" s="223"/>
      <c r="D89" s="223"/>
      <c r="E89" s="223"/>
      <c r="F89" s="191"/>
    </row>
    <row r="90" spans="1:6" ht="15.75" x14ac:dyDescent="0.25">
      <c r="A90" s="191" t="s">
        <v>237</v>
      </c>
      <c r="B90" s="191"/>
      <c r="C90" s="191" t="s">
        <v>238</v>
      </c>
      <c r="D90" s="223"/>
      <c r="E90" s="223"/>
      <c r="F90" s="191"/>
    </row>
    <row r="91" spans="1:6" x14ac:dyDescent="0.25">
      <c r="A91" s="223"/>
      <c r="B91" s="223"/>
      <c r="C91" s="223"/>
      <c r="D91" s="223"/>
      <c r="E91" s="223"/>
      <c r="F91" s="223"/>
    </row>
    <row r="92" spans="1:6" ht="15.75" x14ac:dyDescent="0.25">
      <c r="A92" s="191" t="s">
        <v>349</v>
      </c>
      <c r="B92" s="223"/>
      <c r="C92" s="223"/>
      <c r="D92" s="223"/>
      <c r="E92" s="223"/>
      <c r="F92" s="223"/>
    </row>
  </sheetData>
  <mergeCells count="5">
    <mergeCell ref="A3:F3"/>
    <mergeCell ref="A80:B80"/>
    <mergeCell ref="A81:B81"/>
    <mergeCell ref="A82:B82"/>
    <mergeCell ref="A83:B8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FFA-1764-409C-8629-7992E564B57C}">
  <dimension ref="A1:I88"/>
  <sheetViews>
    <sheetView topLeftCell="A36" workbookViewId="0">
      <selection activeCell="A3" sqref="A3"/>
    </sheetView>
  </sheetViews>
  <sheetFormatPr defaultColWidth="30.7109375" defaultRowHeight="15" x14ac:dyDescent="0.25"/>
  <cols>
    <col min="1" max="1" width="15.7109375" customWidth="1"/>
    <col min="3" max="3" width="19.5703125" customWidth="1"/>
    <col min="4" max="4" width="18.7109375" customWidth="1"/>
    <col min="5" max="5" width="14.28515625" customWidth="1"/>
    <col min="6" max="6" width="17" customWidth="1"/>
    <col min="7" max="7" width="15.5703125" customWidth="1"/>
  </cols>
  <sheetData>
    <row r="1" spans="1:7" ht="15.75" x14ac:dyDescent="0.25">
      <c r="A1" s="128"/>
      <c r="B1" s="128"/>
      <c r="C1" s="128"/>
      <c r="D1" s="128"/>
      <c r="E1" s="128"/>
      <c r="F1" s="129"/>
    </row>
    <row r="2" spans="1:7" ht="15.75" x14ac:dyDescent="0.25">
      <c r="A2" s="130" t="s">
        <v>226</v>
      </c>
      <c r="B2" s="130"/>
      <c r="C2" s="130"/>
      <c r="D2" s="130"/>
      <c r="E2" s="130"/>
      <c r="F2" s="129"/>
    </row>
    <row r="3" spans="1:7" ht="38.25" x14ac:dyDescent="0.25">
      <c r="A3" s="131" t="s">
        <v>353</v>
      </c>
      <c r="B3" s="130"/>
      <c r="C3" s="130"/>
      <c r="D3" s="132"/>
      <c r="E3" s="130"/>
      <c r="F3" s="129"/>
    </row>
    <row r="4" spans="1:7" ht="16.5" thickBot="1" x14ac:dyDescent="0.3">
      <c r="A4" s="130" t="s">
        <v>227</v>
      </c>
      <c r="B4" s="133"/>
      <c r="C4" s="130" t="s">
        <v>228</v>
      </c>
      <c r="D4" s="133"/>
      <c r="E4" s="133"/>
      <c r="F4" s="129"/>
    </row>
    <row r="5" spans="1:7" ht="22.5" x14ac:dyDescent="0.25">
      <c r="A5" s="153" t="s">
        <v>258</v>
      </c>
      <c r="B5" s="154"/>
      <c r="C5" s="154"/>
      <c r="D5" s="154"/>
      <c r="E5" s="154"/>
      <c r="F5" s="155"/>
    </row>
    <row r="6" spans="1:7" ht="31.5" x14ac:dyDescent="0.25">
      <c r="A6" s="156" t="s">
        <v>12</v>
      </c>
      <c r="B6" s="148" t="s">
        <v>148</v>
      </c>
      <c r="C6" s="149" t="s">
        <v>260</v>
      </c>
      <c r="D6" s="149" t="s">
        <v>261</v>
      </c>
      <c r="E6" s="149" t="s">
        <v>262</v>
      </c>
      <c r="F6" s="157" t="s">
        <v>263</v>
      </c>
    </row>
    <row r="7" spans="1:7" ht="15.75" x14ac:dyDescent="0.25">
      <c r="A7" s="98"/>
      <c r="B7" s="150" t="s">
        <v>229</v>
      </c>
      <c r="C7" s="151">
        <v>33585566</v>
      </c>
      <c r="D7" s="101">
        <v>34400062</v>
      </c>
      <c r="E7" s="101">
        <v>28816654.43</v>
      </c>
      <c r="F7" s="158">
        <f>D7*1.05+5500000+3591617.47</f>
        <v>45211682.57</v>
      </c>
      <c r="G7" t="s">
        <v>296</v>
      </c>
    </row>
    <row r="8" spans="1:7" ht="15.75" x14ac:dyDescent="0.25">
      <c r="A8" s="98" t="s">
        <v>157</v>
      </c>
      <c r="B8" s="150" t="s">
        <v>1</v>
      </c>
      <c r="C8" s="151">
        <f>53216/1920*1720</f>
        <v>47672.666666666664</v>
      </c>
      <c r="D8" s="101">
        <v>47673</v>
      </c>
      <c r="E8" s="152">
        <v>0</v>
      </c>
      <c r="F8" s="158">
        <f>D8</f>
        <v>47673</v>
      </c>
    </row>
    <row r="9" spans="1:7" ht="31.5" x14ac:dyDescent="0.25">
      <c r="A9" s="98" t="s">
        <v>158</v>
      </c>
      <c r="B9" s="150" t="s">
        <v>2</v>
      </c>
      <c r="C9" s="151">
        <v>262234</v>
      </c>
      <c r="D9" s="101">
        <v>204774</v>
      </c>
      <c r="E9" s="152">
        <v>0</v>
      </c>
      <c r="F9" s="158">
        <f>C9</f>
        <v>262234</v>
      </c>
    </row>
    <row r="10" spans="1:7" ht="15.75" x14ac:dyDescent="0.25">
      <c r="A10" s="98" t="s">
        <v>159</v>
      </c>
      <c r="B10" s="150" t="s">
        <v>160</v>
      </c>
      <c r="C10" s="151">
        <v>12000</v>
      </c>
      <c r="D10" s="101">
        <v>9000</v>
      </c>
      <c r="E10" s="101">
        <v>0</v>
      </c>
      <c r="F10" s="158">
        <f>C10</f>
        <v>12000</v>
      </c>
    </row>
    <row r="11" spans="1:7" ht="15.75" x14ac:dyDescent="0.25">
      <c r="A11" s="104">
        <v>3111</v>
      </c>
      <c r="B11" s="150" t="s">
        <v>162</v>
      </c>
      <c r="C11" s="151">
        <v>0</v>
      </c>
      <c r="D11" s="101">
        <v>309653.65000000002</v>
      </c>
      <c r="E11" s="101">
        <v>309653.65000000002</v>
      </c>
      <c r="F11" s="158">
        <v>0</v>
      </c>
    </row>
    <row r="12" spans="1:7" ht="15.75" x14ac:dyDescent="0.25">
      <c r="A12" s="104">
        <v>3113</v>
      </c>
      <c r="B12" s="101" t="s">
        <v>7</v>
      </c>
      <c r="C12" s="151">
        <v>0</v>
      </c>
      <c r="D12" s="101">
        <v>1288618.98</v>
      </c>
      <c r="E12" s="101">
        <v>1288618.98</v>
      </c>
      <c r="F12" s="159">
        <v>0</v>
      </c>
    </row>
    <row r="13" spans="1:7" ht="15.75" x14ac:dyDescent="0.25">
      <c r="A13" s="98" t="s">
        <v>164</v>
      </c>
      <c r="B13" s="150" t="s">
        <v>165</v>
      </c>
      <c r="C13" s="151">
        <v>6000</v>
      </c>
      <c r="D13" s="101">
        <v>6000</v>
      </c>
      <c r="E13" s="101">
        <v>3700</v>
      </c>
      <c r="F13" s="158">
        <f>C13</f>
        <v>6000</v>
      </c>
    </row>
    <row r="14" spans="1:7" ht="31.5" x14ac:dyDescent="0.25">
      <c r="A14" s="104">
        <v>3399</v>
      </c>
      <c r="B14" s="150" t="s">
        <v>173</v>
      </c>
      <c r="C14" s="151">
        <v>0</v>
      </c>
      <c r="D14" s="101">
        <v>3000</v>
      </c>
      <c r="E14" s="101">
        <v>1116</v>
      </c>
      <c r="F14" s="158">
        <f>D14</f>
        <v>3000</v>
      </c>
    </row>
    <row r="15" spans="1:7" ht="31.5" x14ac:dyDescent="0.25">
      <c r="A15" s="98" t="s">
        <v>180</v>
      </c>
      <c r="B15" s="150" t="s">
        <v>181</v>
      </c>
      <c r="C15" s="151">
        <v>106000</v>
      </c>
      <c r="D15" s="101">
        <v>116000</v>
      </c>
      <c r="E15" s="101">
        <v>62124</v>
      </c>
      <c r="F15" s="158">
        <v>0</v>
      </c>
      <c r="G15" t="s">
        <v>267</v>
      </c>
    </row>
    <row r="16" spans="1:7" ht="15.75" x14ac:dyDescent="0.25">
      <c r="A16" s="98" t="s">
        <v>182</v>
      </c>
      <c r="B16" s="150" t="s">
        <v>3</v>
      </c>
      <c r="C16" s="151">
        <v>1300000</v>
      </c>
      <c r="D16" s="101">
        <v>1470000</v>
      </c>
      <c r="E16" s="101">
        <v>1366991</v>
      </c>
      <c r="F16" s="158">
        <v>1500000</v>
      </c>
    </row>
    <row r="17" spans="1:7" ht="15.75" x14ac:dyDescent="0.25">
      <c r="A17" s="104">
        <v>3613</v>
      </c>
      <c r="B17" s="150" t="s">
        <v>230</v>
      </c>
      <c r="C17" s="151">
        <v>180000</v>
      </c>
      <c r="D17" s="101">
        <v>215150</v>
      </c>
      <c r="E17" s="101">
        <v>203450</v>
      </c>
      <c r="F17" s="158">
        <v>180000</v>
      </c>
      <c r="G17" t="s">
        <v>268</v>
      </c>
    </row>
    <row r="18" spans="1:7" ht="15.75" x14ac:dyDescent="0.25">
      <c r="A18" s="104">
        <v>3631</v>
      </c>
      <c r="B18" s="150" t="s">
        <v>184</v>
      </c>
      <c r="C18" s="151">
        <v>0</v>
      </c>
      <c r="D18" s="101">
        <v>0</v>
      </c>
      <c r="E18" s="101">
        <v>0</v>
      </c>
      <c r="F18" s="158">
        <v>0</v>
      </c>
      <c r="G18" t="s">
        <v>269</v>
      </c>
    </row>
    <row r="19" spans="1:7" ht="31.5" x14ac:dyDescent="0.25">
      <c r="A19" s="98" t="s">
        <v>187</v>
      </c>
      <c r="B19" s="150" t="s">
        <v>188</v>
      </c>
      <c r="C19" s="151">
        <v>10000</v>
      </c>
      <c r="D19" s="101">
        <v>7000</v>
      </c>
      <c r="E19" s="101">
        <v>0</v>
      </c>
      <c r="F19" s="158">
        <v>10000</v>
      </c>
    </row>
    <row r="20" spans="1:7" ht="15.75" x14ac:dyDescent="0.25">
      <c r="A20" s="98" t="s">
        <v>191</v>
      </c>
      <c r="B20" s="150" t="s">
        <v>192</v>
      </c>
      <c r="C20" s="151">
        <v>5000</v>
      </c>
      <c r="D20" s="101">
        <v>11000</v>
      </c>
      <c r="E20" s="101">
        <v>8460</v>
      </c>
      <c r="F20" s="158">
        <v>5000</v>
      </c>
      <c r="G20" t="s">
        <v>270</v>
      </c>
    </row>
    <row r="21" spans="1:7" ht="47.25" x14ac:dyDescent="0.25">
      <c r="A21" s="104">
        <v>3723</v>
      </c>
      <c r="B21" s="150" t="s">
        <v>10</v>
      </c>
      <c r="C21" s="151">
        <v>0</v>
      </c>
      <c r="D21" s="101">
        <v>500</v>
      </c>
      <c r="E21" s="101">
        <v>60</v>
      </c>
      <c r="F21" s="158">
        <v>500</v>
      </c>
    </row>
    <row r="22" spans="1:7" ht="31.5" x14ac:dyDescent="0.25">
      <c r="A22" s="98" t="s">
        <v>194</v>
      </c>
      <c r="B22" s="150" t="s">
        <v>195</v>
      </c>
      <c r="C22" s="151">
        <v>270000</v>
      </c>
      <c r="D22" s="101">
        <v>369500</v>
      </c>
      <c r="E22" s="101">
        <v>273673</v>
      </c>
      <c r="F22" s="158">
        <v>370000</v>
      </c>
      <c r="G22" t="s">
        <v>271</v>
      </c>
    </row>
    <row r="23" spans="1:7" ht="15.75" x14ac:dyDescent="0.25">
      <c r="A23" s="98" t="s">
        <v>231</v>
      </c>
      <c r="B23" s="150" t="s">
        <v>232</v>
      </c>
      <c r="C23" s="151">
        <v>80000</v>
      </c>
      <c r="D23" s="101">
        <v>80000</v>
      </c>
      <c r="E23" s="101">
        <v>77200</v>
      </c>
      <c r="F23" s="158">
        <v>80000</v>
      </c>
      <c r="G23" t="s">
        <v>272</v>
      </c>
    </row>
    <row r="24" spans="1:7" ht="31.5" x14ac:dyDescent="0.25">
      <c r="A24" s="98" t="s">
        <v>196</v>
      </c>
      <c r="B24" s="150" t="s">
        <v>4</v>
      </c>
      <c r="C24" s="151">
        <v>0</v>
      </c>
      <c r="D24" s="101">
        <v>71525</v>
      </c>
      <c r="E24" s="101">
        <v>71525</v>
      </c>
      <c r="F24" s="158">
        <v>0</v>
      </c>
    </row>
    <row r="25" spans="1:7" ht="31.5" x14ac:dyDescent="0.25">
      <c r="A25" s="104">
        <v>5512</v>
      </c>
      <c r="B25" s="150" t="s">
        <v>11</v>
      </c>
      <c r="C25" s="151">
        <v>0</v>
      </c>
      <c r="D25" s="101">
        <v>0</v>
      </c>
      <c r="E25" s="101">
        <v>0</v>
      </c>
      <c r="F25" s="158">
        <v>0</v>
      </c>
    </row>
    <row r="26" spans="1:7" ht="15.75" x14ac:dyDescent="0.25">
      <c r="A26" s="98" t="s">
        <v>207</v>
      </c>
      <c r="B26" s="150" t="s">
        <v>5</v>
      </c>
      <c r="C26" s="151">
        <v>800000</v>
      </c>
      <c r="D26" s="101">
        <v>897475</v>
      </c>
      <c r="E26" s="101">
        <v>286216.46000000002</v>
      </c>
      <c r="F26" s="158">
        <v>300000</v>
      </c>
      <c r="G26" t="s">
        <v>273</v>
      </c>
    </row>
    <row r="27" spans="1:7" ht="31.5" x14ac:dyDescent="0.25">
      <c r="A27" s="98" t="s">
        <v>208</v>
      </c>
      <c r="B27" s="150" t="s">
        <v>209</v>
      </c>
      <c r="C27" s="151">
        <v>0</v>
      </c>
      <c r="D27" s="101">
        <v>0</v>
      </c>
      <c r="E27" s="101">
        <v>0</v>
      </c>
      <c r="F27" s="158">
        <v>0</v>
      </c>
    </row>
    <row r="28" spans="1:7" ht="15.75" x14ac:dyDescent="0.25">
      <c r="A28" s="98" t="s">
        <v>212</v>
      </c>
      <c r="B28" s="150" t="s">
        <v>213</v>
      </c>
      <c r="C28" s="151">
        <v>0</v>
      </c>
      <c r="D28" s="101">
        <v>0</v>
      </c>
      <c r="E28" s="101">
        <v>0</v>
      </c>
      <c r="F28" s="158">
        <v>0</v>
      </c>
    </row>
    <row r="29" spans="1:7" ht="31.5" x14ac:dyDescent="0.25">
      <c r="A29" s="98">
        <v>6330</v>
      </c>
      <c r="B29" s="150" t="s">
        <v>254</v>
      </c>
      <c r="C29" s="151">
        <v>0</v>
      </c>
      <c r="D29" s="101">
        <v>0</v>
      </c>
      <c r="E29" s="101">
        <v>250000</v>
      </c>
      <c r="F29" s="158"/>
    </row>
    <row r="30" spans="1:7" ht="16.5" thickBot="1" x14ac:dyDescent="0.3">
      <c r="A30" s="160" t="s">
        <v>233</v>
      </c>
      <c r="B30" s="161"/>
      <c r="C30" s="162">
        <f>SUM(C7:C29)</f>
        <v>36664472.666666664</v>
      </c>
      <c r="D30" s="161">
        <f>SUM(D7:D29)</f>
        <v>39506931.629999995</v>
      </c>
      <c r="E30" s="161">
        <f>SUM(E7:E29)</f>
        <v>33019442.52</v>
      </c>
      <c r="F30" s="163">
        <f>SUM(F7:F28)</f>
        <v>47988089.57</v>
      </c>
    </row>
    <row r="32" spans="1:7" ht="23.25" thickBot="1" x14ac:dyDescent="0.3">
      <c r="A32" s="84" t="s">
        <v>259</v>
      </c>
      <c r="B32" s="85"/>
      <c r="C32" s="85"/>
      <c r="D32" s="85"/>
      <c r="E32" s="85"/>
      <c r="F32" s="85"/>
    </row>
    <row r="33" spans="1:8" ht="32.25" thickBot="1" x14ac:dyDescent="0.3">
      <c r="A33" s="86" t="s">
        <v>12</v>
      </c>
      <c r="B33" s="87" t="s">
        <v>148</v>
      </c>
      <c r="C33" s="88" t="s">
        <v>260</v>
      </c>
      <c r="D33" s="89" t="s">
        <v>261</v>
      </c>
      <c r="E33" s="90" t="s">
        <v>262</v>
      </c>
      <c r="F33" s="91" t="s">
        <v>263</v>
      </c>
      <c r="G33" s="140" t="s">
        <v>87</v>
      </c>
    </row>
    <row r="34" spans="1:8" ht="47.25" x14ac:dyDescent="0.25">
      <c r="A34" s="92" t="s">
        <v>149</v>
      </c>
      <c r="B34" s="93" t="s">
        <v>150</v>
      </c>
      <c r="C34" s="94">
        <v>15000</v>
      </c>
      <c r="D34" s="95">
        <v>35000</v>
      </c>
      <c r="E34" s="96">
        <v>26137</v>
      </c>
      <c r="F34" s="97">
        <v>35000</v>
      </c>
      <c r="G34" s="141">
        <v>0</v>
      </c>
    </row>
    <row r="35" spans="1:8" ht="15.75" x14ac:dyDescent="0.25">
      <c r="A35" s="98" t="s">
        <v>151</v>
      </c>
      <c r="B35" s="99" t="s">
        <v>6</v>
      </c>
      <c r="C35" s="100">
        <v>500000</v>
      </c>
      <c r="D35" s="101">
        <v>10780000</v>
      </c>
      <c r="E35" s="102">
        <v>278429.46999999997</v>
      </c>
      <c r="F35" s="103">
        <v>300000</v>
      </c>
      <c r="G35" s="141">
        <v>18000000</v>
      </c>
      <c r="H35" t="s">
        <v>274</v>
      </c>
    </row>
    <row r="36" spans="1:8" ht="31.5" x14ac:dyDescent="0.25">
      <c r="A36" s="98" t="s">
        <v>152</v>
      </c>
      <c r="B36" s="99" t="s">
        <v>0</v>
      </c>
      <c r="C36" s="100">
        <v>700000</v>
      </c>
      <c r="D36" s="101">
        <v>1900000</v>
      </c>
      <c r="E36" s="102">
        <v>0</v>
      </c>
      <c r="F36" s="103">
        <v>0</v>
      </c>
      <c r="G36" s="141">
        <v>2200000</v>
      </c>
      <c r="H36" t="s">
        <v>289</v>
      </c>
    </row>
    <row r="37" spans="1:8" ht="15.75" x14ac:dyDescent="0.25">
      <c r="A37" s="98" t="s">
        <v>153</v>
      </c>
      <c r="B37" s="99" t="s">
        <v>154</v>
      </c>
      <c r="C37" s="100">
        <v>0</v>
      </c>
      <c r="D37" s="101">
        <v>0</v>
      </c>
      <c r="E37" s="102">
        <v>0</v>
      </c>
      <c r="F37" s="103">
        <v>0</v>
      </c>
    </row>
    <row r="38" spans="1:8" ht="31.5" x14ac:dyDescent="0.25">
      <c r="A38" s="98" t="s">
        <v>155</v>
      </c>
      <c r="B38" s="99" t="s">
        <v>156</v>
      </c>
      <c r="C38" s="100">
        <v>130000</v>
      </c>
      <c r="D38" s="101">
        <v>130000</v>
      </c>
      <c r="E38" s="102">
        <v>111536</v>
      </c>
      <c r="F38" s="103">
        <v>130000</v>
      </c>
      <c r="G38" s="141">
        <v>0</v>
      </c>
    </row>
    <row r="39" spans="1:8" ht="15.75" x14ac:dyDescent="0.25">
      <c r="A39" s="98" t="s">
        <v>157</v>
      </c>
      <c r="B39" s="99" t="s">
        <v>1</v>
      </c>
      <c r="C39" s="100">
        <v>1200000</v>
      </c>
      <c r="D39" s="101">
        <v>1700000</v>
      </c>
      <c r="E39" s="102">
        <v>32649.43</v>
      </c>
      <c r="F39" s="103">
        <v>150000</v>
      </c>
      <c r="G39" s="141">
        <v>800000</v>
      </c>
      <c r="H39" t="s">
        <v>292</v>
      </c>
    </row>
    <row r="40" spans="1:8" ht="31.5" x14ac:dyDescent="0.25">
      <c r="A40" s="98" t="s">
        <v>158</v>
      </c>
      <c r="B40" s="99" t="s">
        <v>2</v>
      </c>
      <c r="C40" s="100">
        <v>2600000</v>
      </c>
      <c r="D40" s="101">
        <v>2835000</v>
      </c>
      <c r="E40" s="102">
        <v>550194.18000000005</v>
      </c>
      <c r="F40" s="103">
        <v>150000</v>
      </c>
      <c r="G40" s="141">
        <f>3900000+250000+3500000</f>
        <v>7650000</v>
      </c>
      <c r="H40" t="s">
        <v>291</v>
      </c>
    </row>
    <row r="41" spans="1:8" ht="15.75" x14ac:dyDescent="0.25">
      <c r="A41" s="98" t="s">
        <v>159</v>
      </c>
      <c r="B41" s="99" t="s">
        <v>160</v>
      </c>
      <c r="C41" s="100">
        <v>50000</v>
      </c>
      <c r="D41" s="101">
        <v>50000</v>
      </c>
      <c r="E41" s="102">
        <v>0</v>
      </c>
      <c r="F41" s="103"/>
      <c r="G41" s="141">
        <v>50000</v>
      </c>
      <c r="H41" t="s">
        <v>275</v>
      </c>
    </row>
    <row r="42" spans="1:8" ht="15.75" x14ac:dyDescent="0.25">
      <c r="A42" s="98" t="s">
        <v>161</v>
      </c>
      <c r="B42" s="99" t="s">
        <v>162</v>
      </c>
      <c r="C42" s="100">
        <v>1400000</v>
      </c>
      <c r="D42" s="101">
        <v>1325000</v>
      </c>
      <c r="E42" s="102">
        <v>1151926</v>
      </c>
      <c r="F42" s="103">
        <f>1300000+1278431</f>
        <v>2578431</v>
      </c>
      <c r="G42" s="141">
        <v>0</v>
      </c>
      <c r="H42" t="s">
        <v>293</v>
      </c>
    </row>
    <row r="43" spans="1:8" ht="15.75" x14ac:dyDescent="0.25">
      <c r="A43" s="98" t="s">
        <v>163</v>
      </c>
      <c r="B43" s="99" t="s">
        <v>7</v>
      </c>
      <c r="C43" s="100">
        <v>6450000</v>
      </c>
      <c r="D43" s="101">
        <v>10753374</v>
      </c>
      <c r="E43" s="102">
        <v>9752075.7899999991</v>
      </c>
      <c r="F43" s="103">
        <f>3750000+6394000</f>
        <v>10144000</v>
      </c>
      <c r="G43" s="141">
        <v>3000000</v>
      </c>
      <c r="H43" t="s">
        <v>277</v>
      </c>
    </row>
    <row r="44" spans="1:8" ht="15.75" x14ac:dyDescent="0.25">
      <c r="A44" s="104">
        <v>3141</v>
      </c>
      <c r="B44" s="99" t="s">
        <v>255</v>
      </c>
      <c r="C44" s="100">
        <v>0</v>
      </c>
      <c r="D44" s="101">
        <v>501448.84</v>
      </c>
      <c r="E44" s="102">
        <v>225325</v>
      </c>
      <c r="F44" s="103">
        <v>250000</v>
      </c>
      <c r="G44" s="141">
        <v>900000</v>
      </c>
      <c r="H44" t="s">
        <v>276</v>
      </c>
    </row>
    <row r="45" spans="1:8" ht="15.75" x14ac:dyDescent="0.25">
      <c r="A45" s="98" t="s">
        <v>164</v>
      </c>
      <c r="B45" s="99" t="s">
        <v>165</v>
      </c>
      <c r="C45" s="100">
        <v>6000</v>
      </c>
      <c r="D45" s="101">
        <v>6000</v>
      </c>
      <c r="E45" s="102">
        <v>1600</v>
      </c>
      <c r="F45" s="103">
        <v>6000</v>
      </c>
      <c r="G45" s="141">
        <v>0</v>
      </c>
    </row>
    <row r="46" spans="1:8" ht="15.75" x14ac:dyDescent="0.25">
      <c r="A46" s="98" t="s">
        <v>166</v>
      </c>
      <c r="B46" s="99" t="s">
        <v>167</v>
      </c>
      <c r="C46" s="100">
        <v>40000</v>
      </c>
      <c r="D46" s="101">
        <v>40000</v>
      </c>
      <c r="E46" s="102">
        <v>0</v>
      </c>
      <c r="F46" s="103">
        <v>30000</v>
      </c>
      <c r="G46" s="141">
        <v>0</v>
      </c>
    </row>
    <row r="47" spans="1:8" ht="63" x14ac:dyDescent="0.25">
      <c r="A47" s="98" t="s">
        <v>168</v>
      </c>
      <c r="B47" s="99" t="s">
        <v>169</v>
      </c>
      <c r="C47" s="100">
        <v>0</v>
      </c>
      <c r="D47" s="101">
        <v>0</v>
      </c>
      <c r="E47" s="102">
        <v>0</v>
      </c>
      <c r="F47" s="103">
        <v>0</v>
      </c>
      <c r="G47" s="141">
        <v>0</v>
      </c>
    </row>
    <row r="48" spans="1:8" ht="31.5" x14ac:dyDescent="0.25">
      <c r="A48" s="98" t="s">
        <v>170</v>
      </c>
      <c r="B48" s="99" t="s">
        <v>171</v>
      </c>
      <c r="C48" s="100">
        <v>100000</v>
      </c>
      <c r="D48" s="101">
        <v>86000</v>
      </c>
      <c r="E48" s="102">
        <v>85293.93</v>
      </c>
      <c r="F48" s="103">
        <v>100000</v>
      </c>
      <c r="G48" s="141">
        <v>0</v>
      </c>
    </row>
    <row r="49" spans="1:9" ht="31.5" x14ac:dyDescent="0.25">
      <c r="A49" s="98" t="s">
        <v>172</v>
      </c>
      <c r="B49" s="99" t="s">
        <v>173</v>
      </c>
      <c r="C49" s="100">
        <v>140000</v>
      </c>
      <c r="D49" s="101">
        <v>154000</v>
      </c>
      <c r="E49" s="164">
        <v>121866.8</v>
      </c>
      <c r="F49" s="103">
        <v>150000</v>
      </c>
      <c r="G49" s="141">
        <v>0</v>
      </c>
    </row>
    <row r="50" spans="1:9" ht="31.5" x14ac:dyDescent="0.25">
      <c r="A50" s="98" t="s">
        <v>174</v>
      </c>
      <c r="B50" s="99" t="s">
        <v>175</v>
      </c>
      <c r="C50" s="100">
        <v>30000</v>
      </c>
      <c r="D50" s="101">
        <v>53100</v>
      </c>
      <c r="E50" s="102">
        <v>23590.04</v>
      </c>
      <c r="F50" s="103">
        <v>50000</v>
      </c>
      <c r="G50" s="141">
        <v>0</v>
      </c>
    </row>
    <row r="51" spans="1:9" ht="15.75" x14ac:dyDescent="0.25">
      <c r="A51" s="98" t="s">
        <v>176</v>
      </c>
      <c r="B51" s="99" t="s">
        <v>177</v>
      </c>
      <c r="C51" s="100">
        <v>400000</v>
      </c>
      <c r="D51" s="101">
        <v>780410.16</v>
      </c>
      <c r="E51" s="102">
        <v>778148.86</v>
      </c>
      <c r="F51" s="103">
        <v>50000</v>
      </c>
    </row>
    <row r="52" spans="1:9" ht="31.5" x14ac:dyDescent="0.25">
      <c r="A52" s="98" t="s">
        <v>178</v>
      </c>
      <c r="B52" s="99" t="s">
        <v>179</v>
      </c>
      <c r="C52" s="100">
        <v>50000</v>
      </c>
      <c r="D52" s="101">
        <v>4987</v>
      </c>
      <c r="E52" s="102">
        <v>0</v>
      </c>
      <c r="F52" s="103">
        <v>50000</v>
      </c>
      <c r="G52" s="141">
        <v>0</v>
      </c>
    </row>
    <row r="53" spans="1:9" ht="31.5" x14ac:dyDescent="0.25">
      <c r="A53" s="98" t="s">
        <v>180</v>
      </c>
      <c r="B53" s="99" t="s">
        <v>181</v>
      </c>
      <c r="C53" s="100">
        <v>300000</v>
      </c>
      <c r="D53" s="101">
        <v>2311000</v>
      </c>
      <c r="E53" s="102">
        <v>1973758.76</v>
      </c>
      <c r="F53" s="103">
        <v>200000</v>
      </c>
      <c r="G53" s="141">
        <f>500000+800000</f>
        <v>1300000</v>
      </c>
      <c r="H53" t="s">
        <v>288</v>
      </c>
    </row>
    <row r="54" spans="1:9" ht="15.75" x14ac:dyDescent="0.25">
      <c r="A54" s="98" t="s">
        <v>182</v>
      </c>
      <c r="B54" s="99" t="s">
        <v>3</v>
      </c>
      <c r="C54" s="100">
        <v>1700000</v>
      </c>
      <c r="D54" s="101">
        <v>1499000</v>
      </c>
      <c r="E54" s="102">
        <v>583322.73</v>
      </c>
      <c r="F54" s="103">
        <v>1700000</v>
      </c>
      <c r="G54" s="141">
        <f>1500000+70000</f>
        <v>1570000</v>
      </c>
      <c r="H54" t="s">
        <v>287</v>
      </c>
      <c r="I54" t="s">
        <v>278</v>
      </c>
    </row>
    <row r="55" spans="1:9" ht="15.75" x14ac:dyDescent="0.25">
      <c r="A55" s="104">
        <v>3613</v>
      </c>
      <c r="B55" s="99" t="s">
        <v>230</v>
      </c>
      <c r="C55" s="100"/>
      <c r="D55" s="101"/>
      <c r="E55" s="164">
        <v>-6498.12</v>
      </c>
      <c r="F55" s="103">
        <v>0</v>
      </c>
      <c r="G55" s="141">
        <v>0</v>
      </c>
    </row>
    <row r="56" spans="1:9" ht="15.75" x14ac:dyDescent="0.25">
      <c r="A56" s="98" t="s">
        <v>183</v>
      </c>
      <c r="B56" s="99" t="s">
        <v>184</v>
      </c>
      <c r="C56" s="100">
        <v>5300000</v>
      </c>
      <c r="D56" s="101">
        <v>3031138</v>
      </c>
      <c r="E56" s="102">
        <v>585532.56000000006</v>
      </c>
      <c r="F56" s="103">
        <v>700000</v>
      </c>
      <c r="G56" s="141">
        <v>3000000</v>
      </c>
      <c r="H56" t="s">
        <v>279</v>
      </c>
    </row>
    <row r="57" spans="1:9" ht="15.75" x14ac:dyDescent="0.25">
      <c r="A57" s="98" t="s">
        <v>185</v>
      </c>
      <c r="B57" s="99" t="s">
        <v>8</v>
      </c>
      <c r="C57" s="100">
        <v>300000</v>
      </c>
      <c r="D57" s="101">
        <v>300000</v>
      </c>
      <c r="E57" s="102">
        <v>16000</v>
      </c>
      <c r="F57" s="103">
        <v>0</v>
      </c>
      <c r="G57" s="141">
        <v>150000</v>
      </c>
      <c r="H57" t="s">
        <v>280</v>
      </c>
    </row>
    <row r="58" spans="1:9" ht="15.75" x14ac:dyDescent="0.25">
      <c r="A58" s="98" t="s">
        <v>186</v>
      </c>
      <c r="B58" s="99" t="s">
        <v>9</v>
      </c>
      <c r="C58" s="100">
        <v>800000</v>
      </c>
      <c r="D58" s="101">
        <v>1361196</v>
      </c>
      <c r="E58" s="102">
        <v>710932</v>
      </c>
      <c r="F58" s="103">
        <v>0</v>
      </c>
      <c r="G58" s="141">
        <v>200000</v>
      </c>
      <c r="H58" t="s">
        <v>281</v>
      </c>
    </row>
    <row r="59" spans="1:9" ht="31.5" x14ac:dyDescent="0.25">
      <c r="A59" s="98" t="s">
        <v>187</v>
      </c>
      <c r="B59" s="99" t="s">
        <v>188</v>
      </c>
      <c r="C59" s="100">
        <v>5000</v>
      </c>
      <c r="D59" s="101">
        <v>5000</v>
      </c>
      <c r="E59" s="102">
        <v>0</v>
      </c>
      <c r="F59" s="103">
        <v>5000</v>
      </c>
      <c r="G59" s="141">
        <v>0</v>
      </c>
    </row>
    <row r="60" spans="1:9" ht="31.5" x14ac:dyDescent="0.25">
      <c r="A60" s="98" t="s">
        <v>189</v>
      </c>
      <c r="B60" s="99" t="s">
        <v>190</v>
      </c>
      <c r="C60" s="100">
        <v>150000</v>
      </c>
      <c r="D60" s="101">
        <v>111524</v>
      </c>
      <c r="E60" s="102">
        <v>23474</v>
      </c>
      <c r="F60" s="103">
        <v>150000</v>
      </c>
      <c r="G60" s="141">
        <v>0</v>
      </c>
    </row>
    <row r="61" spans="1:9" ht="15.75" x14ac:dyDescent="0.25">
      <c r="A61" s="98" t="s">
        <v>191</v>
      </c>
      <c r="B61" s="99" t="s">
        <v>192</v>
      </c>
      <c r="C61" s="100">
        <v>1600000</v>
      </c>
      <c r="D61" s="101">
        <v>1605500</v>
      </c>
      <c r="E61" s="102">
        <v>1511898.78</v>
      </c>
      <c r="F61" s="103">
        <v>2000000</v>
      </c>
      <c r="G61" s="141">
        <v>0</v>
      </c>
    </row>
    <row r="62" spans="1:9" ht="47.25" x14ac:dyDescent="0.25">
      <c r="A62" s="98" t="s">
        <v>193</v>
      </c>
      <c r="B62" s="99" t="s">
        <v>10</v>
      </c>
      <c r="C62" s="100">
        <v>1030000</v>
      </c>
      <c r="D62" s="101">
        <v>1030000</v>
      </c>
      <c r="E62" s="102">
        <v>699648.39</v>
      </c>
      <c r="F62" s="103">
        <v>1000000</v>
      </c>
      <c r="G62" s="141">
        <v>0</v>
      </c>
    </row>
    <row r="63" spans="1:9" ht="31.5" x14ac:dyDescent="0.25">
      <c r="A63" s="98" t="s">
        <v>194</v>
      </c>
      <c r="B63" s="99" t="s">
        <v>195</v>
      </c>
      <c r="C63" s="100">
        <v>300000</v>
      </c>
      <c r="D63" s="101">
        <v>300000</v>
      </c>
      <c r="E63" s="102">
        <v>257058.96</v>
      </c>
      <c r="F63" s="103">
        <v>400000</v>
      </c>
      <c r="G63" s="141">
        <v>0</v>
      </c>
    </row>
    <row r="64" spans="1:9" ht="31.5" x14ac:dyDescent="0.25">
      <c r="A64" s="98" t="s">
        <v>196</v>
      </c>
      <c r="B64" s="99" t="s">
        <v>4</v>
      </c>
      <c r="C64" s="100">
        <v>6000000</v>
      </c>
      <c r="D64" s="101">
        <v>4505500</v>
      </c>
      <c r="E64" s="102">
        <v>3629062.67</v>
      </c>
      <c r="F64" s="165">
        <v>4000000</v>
      </c>
      <c r="G64" s="165">
        <f>2000000+300000+300000+2400000+500000</f>
        <v>5500000</v>
      </c>
      <c r="H64" t="s">
        <v>286</v>
      </c>
    </row>
    <row r="65" spans="1:9" ht="31.5" x14ac:dyDescent="0.25">
      <c r="A65" s="98" t="s">
        <v>197</v>
      </c>
      <c r="B65" s="99" t="s">
        <v>198</v>
      </c>
      <c r="C65" s="100">
        <v>0</v>
      </c>
      <c r="D65" s="101">
        <v>0</v>
      </c>
      <c r="E65" s="102">
        <v>0</v>
      </c>
      <c r="F65" s="103">
        <v>0</v>
      </c>
      <c r="G65" s="141">
        <v>0</v>
      </c>
    </row>
    <row r="66" spans="1:9" ht="47.25" x14ac:dyDescent="0.25">
      <c r="A66" s="98" t="s">
        <v>199</v>
      </c>
      <c r="B66" s="99" t="s">
        <v>200</v>
      </c>
      <c r="C66" s="100">
        <v>0</v>
      </c>
      <c r="D66" s="101">
        <v>0</v>
      </c>
      <c r="E66" s="102">
        <v>0</v>
      </c>
      <c r="F66" s="103">
        <v>0</v>
      </c>
      <c r="G66" s="141">
        <v>0</v>
      </c>
    </row>
    <row r="67" spans="1:9" ht="31.5" x14ac:dyDescent="0.25">
      <c r="A67" s="104">
        <v>4379</v>
      </c>
      <c r="B67" s="99" t="s">
        <v>256</v>
      </c>
      <c r="C67" s="100">
        <v>0</v>
      </c>
      <c r="D67" s="101">
        <v>24000</v>
      </c>
      <c r="E67" s="102">
        <v>9000</v>
      </c>
      <c r="F67" s="103">
        <v>24000</v>
      </c>
      <c r="G67" s="141">
        <v>0</v>
      </c>
    </row>
    <row r="68" spans="1:9" ht="15.75" x14ac:dyDescent="0.25">
      <c r="A68" s="98" t="s">
        <v>201</v>
      </c>
      <c r="B68" s="99" t="s">
        <v>202</v>
      </c>
      <c r="C68" s="100">
        <v>30000</v>
      </c>
      <c r="D68" s="101">
        <v>30000</v>
      </c>
      <c r="E68" s="102">
        <v>0</v>
      </c>
      <c r="F68" s="103">
        <v>30000</v>
      </c>
      <c r="G68" s="141">
        <v>0</v>
      </c>
    </row>
    <row r="69" spans="1:9" ht="31.5" x14ac:dyDescent="0.25">
      <c r="A69" s="98" t="s">
        <v>203</v>
      </c>
      <c r="B69" s="99" t="s">
        <v>11</v>
      </c>
      <c r="C69" s="100">
        <v>1550000</v>
      </c>
      <c r="D69" s="101">
        <v>1550000</v>
      </c>
      <c r="E69" s="102">
        <v>704536.41</v>
      </c>
      <c r="F69" s="103">
        <v>250000</v>
      </c>
      <c r="G69" s="141">
        <f>2600000+300000</f>
        <v>2900000</v>
      </c>
      <c r="H69" t="s">
        <v>290</v>
      </c>
    </row>
    <row r="70" spans="1:9" ht="15.75" x14ac:dyDescent="0.25">
      <c r="A70" s="98" t="s">
        <v>204</v>
      </c>
      <c r="B70" s="99" t="s">
        <v>205</v>
      </c>
      <c r="C70" s="100">
        <v>1700000</v>
      </c>
      <c r="D70" s="101">
        <v>1647000</v>
      </c>
      <c r="E70" s="102">
        <v>1373982</v>
      </c>
      <c r="F70" s="103">
        <v>1700000</v>
      </c>
      <c r="G70" s="141">
        <v>0</v>
      </c>
    </row>
    <row r="71" spans="1:9" ht="15.75" x14ac:dyDescent="0.25">
      <c r="A71" s="104">
        <v>6114</v>
      </c>
      <c r="B71" s="99" t="s">
        <v>257</v>
      </c>
      <c r="C71" s="100">
        <v>0</v>
      </c>
      <c r="D71" s="101">
        <v>38319</v>
      </c>
      <c r="E71" s="102">
        <v>24539</v>
      </c>
      <c r="F71" s="103">
        <v>0</v>
      </c>
    </row>
    <row r="72" spans="1:9" ht="31.5" x14ac:dyDescent="0.25">
      <c r="A72" s="104">
        <v>6115</v>
      </c>
      <c r="B72" s="99" t="s">
        <v>206</v>
      </c>
      <c r="C72" s="100">
        <v>0</v>
      </c>
      <c r="D72" s="101">
        <v>0</v>
      </c>
      <c r="E72" s="102">
        <v>0</v>
      </c>
      <c r="F72" s="103">
        <v>40000</v>
      </c>
    </row>
    <row r="73" spans="1:9" ht="15.75" x14ac:dyDescent="0.25">
      <c r="A73" s="98" t="s">
        <v>207</v>
      </c>
      <c r="B73" s="99" t="s">
        <v>5</v>
      </c>
      <c r="C73" s="100">
        <v>6500000</v>
      </c>
      <c r="D73" s="101">
        <v>7135689</v>
      </c>
      <c r="E73" s="102">
        <v>6625892.3099999996</v>
      </c>
      <c r="F73" s="165">
        <v>7000000</v>
      </c>
      <c r="G73" s="168">
        <v>2480000</v>
      </c>
      <c r="H73" t="s">
        <v>282</v>
      </c>
      <c r="I73" t="s">
        <v>306</v>
      </c>
    </row>
    <row r="74" spans="1:9" ht="31.5" x14ac:dyDescent="0.25">
      <c r="A74" s="98" t="s">
        <v>208</v>
      </c>
      <c r="B74" s="99" t="s">
        <v>209</v>
      </c>
      <c r="C74" s="100">
        <v>0</v>
      </c>
      <c r="D74" s="101">
        <v>0</v>
      </c>
      <c r="E74" s="102">
        <v>0</v>
      </c>
      <c r="F74" s="103">
        <v>0</v>
      </c>
      <c r="G74" s="141">
        <v>0</v>
      </c>
    </row>
    <row r="75" spans="1:9" ht="15.75" x14ac:dyDescent="0.25">
      <c r="A75" s="98" t="s">
        <v>210</v>
      </c>
      <c r="B75" s="99" t="s">
        <v>211</v>
      </c>
      <c r="C75" s="100">
        <v>480000</v>
      </c>
      <c r="D75" s="101">
        <v>551000</v>
      </c>
      <c r="E75" s="102">
        <v>546882.81000000006</v>
      </c>
      <c r="F75" s="103">
        <v>600000</v>
      </c>
      <c r="G75" s="141">
        <v>0</v>
      </c>
    </row>
    <row r="76" spans="1:9" ht="15.75" x14ac:dyDescent="0.25">
      <c r="A76" s="105" t="s">
        <v>212</v>
      </c>
      <c r="B76" s="106" t="s">
        <v>213</v>
      </c>
      <c r="C76" s="107">
        <v>0</v>
      </c>
      <c r="D76" s="108">
        <v>0</v>
      </c>
      <c r="E76" s="109">
        <v>0</v>
      </c>
      <c r="F76" s="110">
        <v>0</v>
      </c>
      <c r="G76" s="141">
        <v>0</v>
      </c>
    </row>
    <row r="77" spans="1:9" ht="31.5" x14ac:dyDescent="0.25">
      <c r="A77" s="144">
        <v>6330</v>
      </c>
      <c r="B77" s="106" t="s">
        <v>254</v>
      </c>
      <c r="C77" s="137">
        <v>0</v>
      </c>
      <c r="D77" s="108">
        <v>0</v>
      </c>
      <c r="E77" s="109">
        <v>250000</v>
      </c>
      <c r="F77" s="138">
        <v>0</v>
      </c>
      <c r="G77" s="141">
        <v>0</v>
      </c>
    </row>
    <row r="78" spans="1:9" ht="15.75" x14ac:dyDescent="0.25">
      <c r="A78" s="111" t="s">
        <v>214</v>
      </c>
      <c r="B78" s="111"/>
      <c r="C78" s="112">
        <f>SUM(C34:C77)</f>
        <v>41556000</v>
      </c>
      <c r="D78" s="111">
        <f>SUM(D34:D77)</f>
        <v>58170186</v>
      </c>
      <c r="E78" s="111">
        <f>SUM(E34:E77)</f>
        <v>32657795.760000002</v>
      </c>
      <c r="F78" s="111">
        <f>SUM(F34:F77)</f>
        <v>33972431</v>
      </c>
      <c r="G78" s="111">
        <f>SUM(G34:G77)</f>
        <v>49700000</v>
      </c>
      <c r="H78" s="143">
        <f>F78+G78</f>
        <v>83672431</v>
      </c>
    </row>
    <row r="79" spans="1:9" ht="15.75" x14ac:dyDescent="0.25">
      <c r="A79" s="175"/>
      <c r="B79" s="176"/>
      <c r="C79" s="112"/>
      <c r="D79" s="111"/>
      <c r="E79" s="111"/>
      <c r="F79" s="111"/>
    </row>
    <row r="80" spans="1:9" ht="15.75" x14ac:dyDescent="0.25">
      <c r="A80" s="177" t="s">
        <v>225</v>
      </c>
      <c r="B80" s="177"/>
      <c r="C80" s="112">
        <f>C78</f>
        <v>41556000</v>
      </c>
      <c r="D80" s="112">
        <f t="shared" ref="D80:F80" si="0">D78</f>
        <v>58170186</v>
      </c>
      <c r="E80" s="112">
        <f t="shared" si="0"/>
        <v>32657795.760000002</v>
      </c>
      <c r="F80" s="112">
        <f t="shared" si="0"/>
        <v>33972431</v>
      </c>
    </row>
    <row r="81" spans="1:7" ht="15.75" x14ac:dyDescent="0.25">
      <c r="A81" s="178" t="s">
        <v>234</v>
      </c>
      <c r="B81" s="178"/>
      <c r="C81" s="112">
        <f>C30</f>
        <v>36664472.666666664</v>
      </c>
      <c r="D81" s="112">
        <f t="shared" ref="D81:F81" si="1">D30</f>
        <v>39506931.629999995</v>
      </c>
      <c r="E81" s="112">
        <f t="shared" si="1"/>
        <v>33019442.52</v>
      </c>
      <c r="F81" s="112">
        <f t="shared" si="1"/>
        <v>47988089.57</v>
      </c>
    </row>
    <row r="82" spans="1:7" ht="15.75" x14ac:dyDescent="0.25">
      <c r="A82" s="179" t="s">
        <v>235</v>
      </c>
      <c r="B82" s="180"/>
      <c r="C82" s="112">
        <f>C80-C81</f>
        <v>4891527.3333333358</v>
      </c>
      <c r="D82" s="112">
        <f t="shared" ref="D82" si="2">D80-D81</f>
        <v>18663254.370000005</v>
      </c>
      <c r="E82" s="112">
        <f>E80-E81</f>
        <v>-361646.75999999791</v>
      </c>
      <c r="F82" s="112">
        <f>F80-F81</f>
        <v>-14015658.57</v>
      </c>
    </row>
    <row r="83" spans="1:7" ht="15.75" x14ac:dyDescent="0.25">
      <c r="A83" s="129" t="s">
        <v>236</v>
      </c>
      <c r="B83" s="129"/>
      <c r="C83" s="129"/>
      <c r="D83" s="129"/>
      <c r="E83" s="129"/>
      <c r="F83" s="129" t="s">
        <v>217</v>
      </c>
      <c r="G83" s="143">
        <v>-18000000</v>
      </c>
    </row>
    <row r="84" spans="1:7" ht="15.75" x14ac:dyDescent="0.25">
      <c r="A84" s="129"/>
      <c r="B84" s="129"/>
      <c r="C84" s="129"/>
      <c r="D84" s="129"/>
      <c r="E84" s="129"/>
      <c r="F84" s="129" t="s">
        <v>283</v>
      </c>
      <c r="G84" s="143">
        <v>-12500000</v>
      </c>
    </row>
    <row r="85" spans="1:7" ht="15.75" x14ac:dyDescent="0.25">
      <c r="A85" s="129" t="s">
        <v>237</v>
      </c>
      <c r="B85" s="129"/>
      <c r="C85" s="129" t="s">
        <v>238</v>
      </c>
      <c r="D85" s="129"/>
      <c r="E85" s="129"/>
      <c r="F85" s="129" t="s">
        <v>284</v>
      </c>
      <c r="G85" s="143">
        <f>F82</f>
        <v>-14015658.57</v>
      </c>
    </row>
    <row r="86" spans="1:7" ht="15.75" x14ac:dyDescent="0.25">
      <c r="F86" s="142" t="s">
        <v>285</v>
      </c>
      <c r="G86" s="143">
        <f>G78+G83+G84+G85</f>
        <v>5184341.43</v>
      </c>
    </row>
    <row r="87" spans="1:7" ht="15.75" x14ac:dyDescent="0.25">
      <c r="F87" s="142" t="s">
        <v>294</v>
      </c>
      <c r="G87" s="143">
        <f>'Dotace 2025'!G27</f>
        <v>3525314.2800000003</v>
      </c>
    </row>
    <row r="88" spans="1:7" ht="15.75" x14ac:dyDescent="0.25">
      <c r="F88" s="142" t="s">
        <v>295</v>
      </c>
      <c r="G88" s="143">
        <f>G86-G87</f>
        <v>1659027.1499999994</v>
      </c>
    </row>
  </sheetData>
  <mergeCells count="4">
    <mergeCell ref="A79:B79"/>
    <mergeCell ref="A80:B80"/>
    <mergeCell ref="A81:B81"/>
    <mergeCell ref="A82:B82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4E11-67ED-411B-84C8-D9039156D7D6}">
  <dimension ref="D4:M28"/>
  <sheetViews>
    <sheetView workbookViewId="0">
      <selection activeCell="D6" sqref="D6"/>
    </sheetView>
  </sheetViews>
  <sheetFormatPr defaultRowHeight="15" x14ac:dyDescent="0.25"/>
  <cols>
    <col min="4" max="4" width="44" customWidth="1"/>
    <col min="5" max="5" width="22.85546875" customWidth="1"/>
    <col min="6" max="6" width="14.28515625" customWidth="1"/>
    <col min="9" max="9" width="12.85546875" customWidth="1"/>
    <col min="10" max="12" width="14" bestFit="1" customWidth="1"/>
  </cols>
  <sheetData>
    <row r="4" spans="4:12" x14ac:dyDescent="0.25">
      <c r="I4" t="s">
        <v>333</v>
      </c>
    </row>
    <row r="5" spans="4:12" ht="15.75" thickBot="1" x14ac:dyDescent="0.3">
      <c r="D5" t="s">
        <v>334</v>
      </c>
    </row>
    <row r="6" spans="4:12" x14ac:dyDescent="0.25">
      <c r="D6" s="4" t="s">
        <v>305</v>
      </c>
      <c r="E6" s="5"/>
      <c r="I6" s="134" t="s">
        <v>239</v>
      </c>
      <c r="J6" s="135">
        <v>2023</v>
      </c>
      <c r="K6" s="135">
        <v>2024</v>
      </c>
      <c r="L6" s="135">
        <v>2025</v>
      </c>
    </row>
    <row r="7" spans="4:12" x14ac:dyDescent="0.25">
      <c r="D7" s="6" t="s">
        <v>215</v>
      </c>
      <c r="E7" s="113">
        <v>10069270.23</v>
      </c>
      <c r="I7" s="3" t="s">
        <v>240</v>
      </c>
      <c r="J7" s="3">
        <v>1832505.58</v>
      </c>
      <c r="K7" s="3">
        <v>1894856.9</v>
      </c>
      <c r="L7" s="3">
        <v>2026179.2300000004</v>
      </c>
    </row>
    <row r="8" spans="4:12" x14ac:dyDescent="0.25">
      <c r="D8" s="6" t="s">
        <v>216</v>
      </c>
      <c r="E8" s="113">
        <v>2418676.13</v>
      </c>
      <c r="I8" s="3" t="s">
        <v>241</v>
      </c>
      <c r="J8" s="3">
        <v>1856092.98</v>
      </c>
      <c r="K8" s="3">
        <v>1941631.17</v>
      </c>
      <c r="L8" s="3">
        <v>2104975.7600000002</v>
      </c>
    </row>
    <row r="9" spans="4:12" x14ac:dyDescent="0.25">
      <c r="D9" s="6" t="s">
        <v>217</v>
      </c>
      <c r="E9" s="114">
        <v>0</v>
      </c>
      <c r="I9" s="3" t="s">
        <v>242</v>
      </c>
      <c r="J9" s="3">
        <v>2163034.7200000002</v>
      </c>
      <c r="K9" s="3">
        <v>2532945.42</v>
      </c>
      <c r="L9" s="3">
        <v>2254982.5100000002</v>
      </c>
    </row>
    <row r="10" spans="4:12" ht="15.75" thickBot="1" x14ac:dyDescent="0.3">
      <c r="D10" s="115" t="s">
        <v>218</v>
      </c>
      <c r="E10" s="116">
        <f>E8+E7</f>
        <v>12487946.359999999</v>
      </c>
      <c r="I10" s="3" t="s">
        <v>243</v>
      </c>
      <c r="J10" s="3">
        <v>1404482.7400000002</v>
      </c>
      <c r="K10" s="3">
        <v>1494481.35</v>
      </c>
      <c r="L10" s="3">
        <v>1914234.4500000004</v>
      </c>
    </row>
    <row r="11" spans="4:12" ht="15.75" thickBot="1" x14ac:dyDescent="0.3">
      <c r="D11" s="117"/>
      <c r="E11" s="118"/>
      <c r="I11" s="3" t="s">
        <v>244</v>
      </c>
      <c r="J11" s="3">
        <v>1975693.2799999998</v>
      </c>
      <c r="K11" s="3">
        <v>1894482.34</v>
      </c>
      <c r="L11" s="3">
        <v>2088616.8900000001</v>
      </c>
    </row>
    <row r="12" spans="4:12" x14ac:dyDescent="0.25">
      <c r="D12" s="119" t="s">
        <v>219</v>
      </c>
      <c r="E12" s="120"/>
      <c r="I12" s="3" t="s">
        <v>245</v>
      </c>
      <c r="J12" s="3">
        <v>3270738.5299999993</v>
      </c>
      <c r="K12" s="3">
        <v>3832612.08</v>
      </c>
      <c r="L12" s="3">
        <v>4376507.6400000006</v>
      </c>
    </row>
    <row r="13" spans="4:12" x14ac:dyDescent="0.25">
      <c r="D13" s="6" t="s">
        <v>220</v>
      </c>
      <c r="E13" s="113">
        <v>200000</v>
      </c>
      <c r="I13" s="3" t="s">
        <v>246</v>
      </c>
      <c r="J13" s="3">
        <v>4091953</v>
      </c>
      <c r="K13" s="3">
        <v>3790819.69</v>
      </c>
      <c r="L13" s="3">
        <v>3954861.56</v>
      </c>
    </row>
    <row r="14" spans="4:12" ht="15.75" thickBot="1" x14ac:dyDescent="0.3">
      <c r="D14" s="7" t="s">
        <v>221</v>
      </c>
      <c r="E14" s="121">
        <f>L18</f>
        <v>2069600.77</v>
      </c>
      <c r="I14" s="3" t="s">
        <v>247</v>
      </c>
      <c r="J14" s="3">
        <v>1891326</v>
      </c>
      <c r="K14" s="3">
        <v>1865349.09</v>
      </c>
      <c r="L14" s="3">
        <v>2031804.3799999997</v>
      </c>
    </row>
    <row r="15" spans="4:12" ht="15.75" thickBot="1" x14ac:dyDescent="0.3">
      <c r="D15" s="117"/>
      <c r="E15" s="122"/>
      <c r="I15" s="3" t="s">
        <v>248</v>
      </c>
      <c r="J15" s="3">
        <v>3230000</v>
      </c>
      <c r="K15" s="3">
        <v>2239910.73</v>
      </c>
      <c r="L15" s="3">
        <v>2813394.89</v>
      </c>
    </row>
    <row r="16" spans="4:12" ht="15.75" thickBot="1" x14ac:dyDescent="0.3">
      <c r="D16" s="123" t="s">
        <v>222</v>
      </c>
      <c r="E16" s="124">
        <f>SUM(E10:E14)</f>
        <v>14757547.129999999</v>
      </c>
      <c r="I16" s="3" t="s">
        <v>249</v>
      </c>
      <c r="J16" s="3">
        <v>2073703.37</v>
      </c>
      <c r="K16" s="3">
        <v>2244902.6800000002</v>
      </c>
      <c r="L16" s="3">
        <v>2213378.96</v>
      </c>
    </row>
    <row r="17" spans="4:13" ht="15.75" thickBot="1" x14ac:dyDescent="0.3">
      <c r="D17" s="117"/>
      <c r="E17" s="118"/>
      <c r="I17" s="3" t="s">
        <v>250</v>
      </c>
      <c r="J17" s="3">
        <v>2337356</v>
      </c>
      <c r="K17" s="3">
        <v>2167422.2599999998</v>
      </c>
      <c r="L17" s="3">
        <v>2203093.56</v>
      </c>
    </row>
    <row r="18" spans="4:13" x14ac:dyDescent="0.25">
      <c r="D18" s="125" t="s">
        <v>223</v>
      </c>
      <c r="E18" s="145">
        <v>1000000</v>
      </c>
      <c r="I18" s="3" t="s">
        <v>251</v>
      </c>
      <c r="J18" s="3">
        <v>3700610</v>
      </c>
      <c r="K18" s="3">
        <v>3804079</v>
      </c>
      <c r="L18" s="136">
        <f>4189229.42-2119628.65</f>
        <v>2069600.77</v>
      </c>
      <c r="M18" t="s">
        <v>252</v>
      </c>
    </row>
    <row r="19" spans="4:13" x14ac:dyDescent="0.25">
      <c r="D19" s="1" t="s">
        <v>253</v>
      </c>
      <c r="E19" s="146">
        <f>1100000+100000+50000</f>
        <v>1250000</v>
      </c>
      <c r="I19" s="3"/>
      <c r="J19" s="3"/>
      <c r="K19" s="3"/>
      <c r="L19" s="3"/>
    </row>
    <row r="20" spans="4:13" x14ac:dyDescent="0.25">
      <c r="D20" s="1"/>
      <c r="E20" s="146"/>
      <c r="I20" s="134" t="s">
        <v>13</v>
      </c>
      <c r="J20" s="3">
        <v>29827496.199999999</v>
      </c>
      <c r="K20" s="3">
        <v>29703492.710000001</v>
      </c>
      <c r="L20" s="3">
        <v>32416326.871713094</v>
      </c>
    </row>
    <row r="21" spans="4:13" ht="15.75" thickBot="1" x14ac:dyDescent="0.3">
      <c r="F21" s="2"/>
    </row>
    <row r="22" spans="4:13" ht="15.75" thickBot="1" x14ac:dyDescent="0.3">
      <c r="D22" s="123" t="s">
        <v>224</v>
      </c>
      <c r="E22" s="124">
        <f>E16-E18-E19-E20</f>
        <v>12507547.129999999</v>
      </c>
      <c r="I22" s="166"/>
    </row>
    <row r="23" spans="4:13" ht="15.75" thickBot="1" x14ac:dyDescent="0.3">
      <c r="D23" s="125"/>
      <c r="E23" s="126"/>
      <c r="I23" s="166"/>
      <c r="J23" s="2"/>
    </row>
    <row r="24" spans="4:13" ht="15.75" thickBot="1" x14ac:dyDescent="0.3">
      <c r="D24" s="60" t="s">
        <v>13</v>
      </c>
      <c r="E24" s="127">
        <f>E22+E23</f>
        <v>12507547.129999999</v>
      </c>
      <c r="I24" s="166"/>
      <c r="J24" s="2"/>
    </row>
    <row r="26" spans="4:13" x14ac:dyDescent="0.25">
      <c r="D26" t="s">
        <v>307</v>
      </c>
      <c r="E26" s="2">
        <v>32240000</v>
      </c>
      <c r="J26" s="2"/>
    </row>
    <row r="27" spans="4:13" x14ac:dyDescent="0.25">
      <c r="D27" t="s">
        <v>331</v>
      </c>
      <c r="E27" s="2">
        <v>2480000</v>
      </c>
    </row>
    <row r="28" spans="4:13" x14ac:dyDescent="0.25">
      <c r="D28" t="s">
        <v>332</v>
      </c>
      <c r="E28">
        <v>0</v>
      </c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C5D39-51FA-44FA-A9AD-2943F0A11F3E}">
  <dimension ref="B4:F28"/>
  <sheetViews>
    <sheetView workbookViewId="0">
      <selection activeCell="B5" sqref="B5:C5"/>
    </sheetView>
  </sheetViews>
  <sheetFormatPr defaultRowHeight="15" x14ac:dyDescent="0.25"/>
  <cols>
    <col min="2" max="2" width="15.85546875" customWidth="1"/>
    <col min="3" max="3" width="29.28515625" customWidth="1"/>
    <col min="4" max="4" width="18.85546875" bestFit="1" customWidth="1"/>
    <col min="5" max="5" width="163.28515625" customWidth="1"/>
  </cols>
  <sheetData>
    <row r="4" spans="2:6" x14ac:dyDescent="0.25">
      <c r="B4" t="s">
        <v>308</v>
      </c>
    </row>
    <row r="5" spans="2:6" x14ac:dyDescent="0.25">
      <c r="B5" s="264" t="s">
        <v>351</v>
      </c>
      <c r="C5" s="264"/>
    </row>
    <row r="6" spans="2:6" x14ac:dyDescent="0.25">
      <c r="B6" s="254"/>
      <c r="C6" s="254"/>
      <c r="D6" s="254"/>
      <c r="E6" s="254"/>
    </row>
    <row r="7" spans="2:6" x14ac:dyDescent="0.25">
      <c r="B7" s="255">
        <v>2212</v>
      </c>
      <c r="C7" s="255" t="s">
        <v>6</v>
      </c>
      <c r="D7" s="256">
        <v>18000000</v>
      </c>
      <c r="E7" s="255" t="s">
        <v>309</v>
      </c>
      <c r="F7" s="257"/>
    </row>
    <row r="8" spans="2:6" x14ac:dyDescent="0.25">
      <c r="B8" s="258" t="s">
        <v>152</v>
      </c>
      <c r="C8" s="259" t="s">
        <v>0</v>
      </c>
      <c r="D8" s="263">
        <v>1800000</v>
      </c>
      <c r="E8" s="256" t="s">
        <v>310</v>
      </c>
      <c r="F8" s="257"/>
    </row>
    <row r="9" spans="2:6" x14ac:dyDescent="0.25">
      <c r="B9" s="258"/>
      <c r="C9" s="259"/>
      <c r="D9" s="263">
        <v>400000</v>
      </c>
      <c r="E9" s="255" t="s">
        <v>311</v>
      </c>
      <c r="F9" s="257"/>
    </row>
    <row r="10" spans="2:6" ht="15.75" x14ac:dyDescent="0.25">
      <c r="B10" s="260" t="s">
        <v>157</v>
      </c>
      <c r="C10" s="261" t="s">
        <v>1</v>
      </c>
      <c r="D10" s="263">
        <v>800000</v>
      </c>
      <c r="E10" s="255" t="s">
        <v>312</v>
      </c>
      <c r="F10" s="257"/>
    </row>
    <row r="11" spans="2:6" ht="31.5" customHeight="1" x14ac:dyDescent="0.25">
      <c r="B11" s="258" t="s">
        <v>158</v>
      </c>
      <c r="C11" s="259" t="s">
        <v>2</v>
      </c>
      <c r="D11" s="256">
        <v>3900000</v>
      </c>
      <c r="E11" s="256" t="s">
        <v>313</v>
      </c>
      <c r="F11" s="257"/>
    </row>
    <row r="12" spans="2:6" ht="15.75" customHeight="1" x14ac:dyDescent="0.25">
      <c r="B12" s="258"/>
      <c r="C12" s="259"/>
      <c r="D12" s="256">
        <v>3500000</v>
      </c>
      <c r="E12" s="255" t="s">
        <v>350</v>
      </c>
      <c r="F12" s="257"/>
    </row>
    <row r="13" spans="2:6" ht="15.75" x14ac:dyDescent="0.25">
      <c r="B13" s="260" t="s">
        <v>163</v>
      </c>
      <c r="C13" s="261" t="s">
        <v>7</v>
      </c>
      <c r="D13" s="256">
        <v>3000000</v>
      </c>
      <c r="E13" s="255" t="s">
        <v>277</v>
      </c>
      <c r="F13" s="257"/>
    </row>
    <row r="14" spans="2:6" ht="15.75" x14ac:dyDescent="0.25">
      <c r="B14" s="262">
        <v>3141</v>
      </c>
      <c r="C14" s="261" t="s">
        <v>255</v>
      </c>
      <c r="D14" s="256">
        <v>900000</v>
      </c>
      <c r="E14" s="255" t="s">
        <v>314</v>
      </c>
      <c r="F14" s="257"/>
    </row>
    <row r="15" spans="2:6" x14ac:dyDescent="0.25">
      <c r="B15" s="258" t="s">
        <v>180</v>
      </c>
      <c r="C15" s="259" t="s">
        <v>181</v>
      </c>
      <c r="D15" s="256">
        <v>500000</v>
      </c>
      <c r="E15" s="255" t="s">
        <v>315</v>
      </c>
      <c r="F15" s="257"/>
    </row>
    <row r="16" spans="2:6" x14ac:dyDescent="0.25">
      <c r="B16" s="258"/>
      <c r="C16" s="259"/>
      <c r="D16" s="256">
        <v>800000</v>
      </c>
      <c r="E16" s="255" t="s">
        <v>330</v>
      </c>
      <c r="F16" s="257"/>
    </row>
    <row r="17" spans="2:6" x14ac:dyDescent="0.25">
      <c r="B17" s="258" t="s">
        <v>182</v>
      </c>
      <c r="C17" s="259" t="s">
        <v>3</v>
      </c>
      <c r="D17" s="256">
        <v>1500000</v>
      </c>
      <c r="E17" s="255" t="s">
        <v>316</v>
      </c>
      <c r="F17" s="257"/>
    </row>
    <row r="18" spans="2:6" x14ac:dyDescent="0.25">
      <c r="B18" s="258"/>
      <c r="C18" s="259"/>
      <c r="D18" s="256">
        <v>70000</v>
      </c>
      <c r="E18" s="255" t="s">
        <v>317</v>
      </c>
      <c r="F18" s="257"/>
    </row>
    <row r="19" spans="2:6" ht="15.75" x14ac:dyDescent="0.25">
      <c r="B19" s="260" t="s">
        <v>183</v>
      </c>
      <c r="C19" s="261" t="s">
        <v>184</v>
      </c>
      <c r="D19" s="256">
        <v>3000000</v>
      </c>
      <c r="E19" s="255" t="s">
        <v>318</v>
      </c>
      <c r="F19" s="257"/>
    </row>
    <row r="20" spans="2:6" ht="15.75" x14ac:dyDescent="0.25">
      <c r="B20" s="260" t="s">
        <v>185</v>
      </c>
      <c r="C20" s="261" t="s">
        <v>8</v>
      </c>
      <c r="D20" s="256">
        <v>150000</v>
      </c>
      <c r="E20" s="255" t="s">
        <v>319</v>
      </c>
      <c r="F20" s="257"/>
    </row>
    <row r="21" spans="2:6" ht="15.75" x14ac:dyDescent="0.25">
      <c r="B21" s="260" t="s">
        <v>186</v>
      </c>
      <c r="C21" s="261" t="s">
        <v>9</v>
      </c>
      <c r="D21" s="256">
        <v>200000</v>
      </c>
      <c r="E21" s="255" t="s">
        <v>320</v>
      </c>
      <c r="F21" s="257"/>
    </row>
    <row r="22" spans="2:6" x14ac:dyDescent="0.25">
      <c r="B22" s="258" t="s">
        <v>196</v>
      </c>
      <c r="C22" s="259" t="s">
        <v>4</v>
      </c>
      <c r="D22" s="263">
        <v>2400000</v>
      </c>
      <c r="E22" s="255" t="s">
        <v>321</v>
      </c>
      <c r="F22" s="257"/>
    </row>
    <row r="23" spans="2:6" x14ac:dyDescent="0.25">
      <c r="B23" s="258"/>
      <c r="C23" s="259"/>
      <c r="D23" s="256">
        <v>2000000</v>
      </c>
      <c r="E23" s="255" t="s">
        <v>322</v>
      </c>
      <c r="F23" s="257"/>
    </row>
    <row r="24" spans="2:6" x14ac:dyDescent="0.25">
      <c r="B24" s="258"/>
      <c r="C24" s="259"/>
      <c r="D24" s="256">
        <v>300000</v>
      </c>
      <c r="E24" s="255" t="s">
        <v>323</v>
      </c>
      <c r="F24" s="257"/>
    </row>
    <row r="25" spans="2:6" x14ac:dyDescent="0.25">
      <c r="B25" s="258"/>
      <c r="C25" s="259"/>
      <c r="D25" s="256">
        <v>300000</v>
      </c>
      <c r="E25" s="255" t="s">
        <v>324</v>
      </c>
      <c r="F25" s="257"/>
    </row>
    <row r="26" spans="2:6" x14ac:dyDescent="0.25">
      <c r="B26" s="258"/>
      <c r="C26" s="259"/>
      <c r="D26" s="256">
        <v>500000</v>
      </c>
      <c r="E26" s="255" t="s">
        <v>325</v>
      </c>
      <c r="F26" s="257"/>
    </row>
    <row r="27" spans="2:6" x14ac:dyDescent="0.25">
      <c r="B27" s="258" t="s">
        <v>203</v>
      </c>
      <c r="C27" s="259" t="s">
        <v>11</v>
      </c>
      <c r="D27" s="263">
        <v>2600000</v>
      </c>
      <c r="E27" s="255" t="s">
        <v>326</v>
      </c>
      <c r="F27" s="257"/>
    </row>
    <row r="28" spans="2:6" x14ac:dyDescent="0.25">
      <c r="B28" s="258"/>
      <c r="C28" s="259"/>
      <c r="D28" s="256">
        <v>300000</v>
      </c>
      <c r="E28" s="255" t="s">
        <v>327</v>
      </c>
      <c r="F28" s="257"/>
    </row>
  </sheetData>
  <mergeCells count="12">
    <mergeCell ref="B22:B26"/>
    <mergeCell ref="C22:C26"/>
    <mergeCell ref="B27:B28"/>
    <mergeCell ref="C27:C28"/>
    <mergeCell ref="B8:B9"/>
    <mergeCell ref="C8:C9"/>
    <mergeCell ref="B15:B16"/>
    <mergeCell ref="C15:C16"/>
    <mergeCell ref="B17:B18"/>
    <mergeCell ref="C17:C18"/>
    <mergeCell ref="B11:B12"/>
    <mergeCell ref="C11:C1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46CD-23F2-4504-94B0-B11933D99BF3}">
  <dimension ref="B1:K28"/>
  <sheetViews>
    <sheetView workbookViewId="0">
      <selection activeCell="J17" sqref="J17"/>
    </sheetView>
  </sheetViews>
  <sheetFormatPr defaultRowHeight="15" x14ac:dyDescent="0.25"/>
  <cols>
    <col min="2" max="2" width="41.140625" customWidth="1"/>
    <col min="3" max="4" width="17.28515625" customWidth="1"/>
    <col min="5" max="5" width="34.85546875" bestFit="1" customWidth="1"/>
    <col min="6" max="6" width="14.140625" bestFit="1" customWidth="1"/>
    <col min="7" max="7" width="16.28515625" customWidth="1"/>
  </cols>
  <sheetData>
    <row r="1" spans="2:11" x14ac:dyDescent="0.25">
      <c r="B1" s="9"/>
      <c r="C1" s="9"/>
      <c r="D1" s="9"/>
      <c r="E1" s="9"/>
      <c r="F1" s="9"/>
      <c r="G1" s="9"/>
      <c r="H1" s="9"/>
      <c r="I1" s="9"/>
      <c r="J1" s="9"/>
      <c r="K1" s="9"/>
    </row>
    <row r="2" spans="2:11" ht="15.75" thickBot="1" x14ac:dyDescent="0.3">
      <c r="B2" s="9"/>
      <c r="C2" s="8"/>
      <c r="D2" s="8"/>
      <c r="E2" s="9"/>
      <c r="F2" s="11"/>
      <c r="G2" s="11"/>
      <c r="H2" s="9"/>
      <c r="I2" s="9"/>
      <c r="J2" s="9"/>
      <c r="K2" s="9"/>
    </row>
    <row r="3" spans="2:11" ht="15.75" thickBot="1" x14ac:dyDescent="0.3">
      <c r="B3" s="40" t="s">
        <v>335</v>
      </c>
      <c r="C3" s="56" t="s">
        <v>338</v>
      </c>
      <c r="D3" s="81" t="s">
        <v>337</v>
      </c>
      <c r="E3" s="49"/>
      <c r="F3" s="50"/>
      <c r="G3" s="51"/>
      <c r="H3" s="9"/>
      <c r="I3" s="9"/>
      <c r="J3" s="9"/>
      <c r="K3" s="9"/>
    </row>
    <row r="4" spans="2:11" x14ac:dyDescent="0.25">
      <c r="B4" s="45" t="s">
        <v>336</v>
      </c>
      <c r="C4" s="4" t="s">
        <v>43</v>
      </c>
      <c r="D4" s="181">
        <v>46387</v>
      </c>
      <c r="E4" s="54">
        <v>45838</v>
      </c>
      <c r="F4" s="46">
        <v>2246418.52</v>
      </c>
      <c r="G4" s="47">
        <v>1313354.6000000001</v>
      </c>
      <c r="H4" s="8"/>
      <c r="I4" s="9"/>
      <c r="J4" s="9"/>
      <c r="K4" s="9"/>
    </row>
    <row r="5" spans="2:11" x14ac:dyDescent="0.25">
      <c r="B5" s="6" t="s">
        <v>45</v>
      </c>
      <c r="C5" s="1" t="s">
        <v>123</v>
      </c>
      <c r="D5" s="1"/>
      <c r="E5" s="12">
        <v>46022</v>
      </c>
      <c r="F5" s="3">
        <v>3553770</v>
      </c>
      <c r="G5" s="58">
        <v>1140662.8700000001</v>
      </c>
      <c r="H5" s="2" t="s">
        <v>129</v>
      </c>
    </row>
    <row r="6" spans="2:11" x14ac:dyDescent="0.25">
      <c r="B6" s="42" t="s">
        <v>108</v>
      </c>
      <c r="C6" s="6" t="s">
        <v>43</v>
      </c>
      <c r="D6" s="12">
        <v>46265</v>
      </c>
      <c r="E6" s="12">
        <v>46022</v>
      </c>
      <c r="F6" s="3">
        <v>702000</v>
      </c>
      <c r="G6" s="33">
        <v>537600</v>
      </c>
      <c r="H6" s="8"/>
      <c r="I6" s="9"/>
      <c r="J6" s="9"/>
      <c r="K6" s="9"/>
    </row>
    <row r="7" spans="2:11" ht="15.75" thickBot="1" x14ac:dyDescent="0.3">
      <c r="B7" s="43" t="s">
        <v>107</v>
      </c>
      <c r="C7" s="7" t="s">
        <v>43</v>
      </c>
      <c r="D7" s="55">
        <v>46265</v>
      </c>
      <c r="E7" s="55">
        <v>46022</v>
      </c>
      <c r="F7" s="38">
        <v>850000</v>
      </c>
      <c r="G7" s="39">
        <v>600000</v>
      </c>
      <c r="H7" s="2" t="s">
        <v>142</v>
      </c>
    </row>
    <row r="8" spans="2:11" ht="15.75" thickBot="1" x14ac:dyDescent="0.3">
      <c r="B8" s="44" t="s">
        <v>13</v>
      </c>
      <c r="C8" s="35"/>
      <c r="D8" s="82"/>
      <c r="E8" s="52"/>
      <c r="F8" s="36">
        <f>SUM(F4:F7)</f>
        <v>7352188.5199999996</v>
      </c>
      <c r="G8" s="53">
        <f>SUM(G4:G7)</f>
        <v>3591617.47</v>
      </c>
      <c r="H8" s="2"/>
    </row>
    <row r="9" spans="2:11" ht="15.75" thickBot="1" x14ac:dyDescent="0.3">
      <c r="E9" s="10"/>
      <c r="F9" s="2"/>
      <c r="G9" s="2"/>
      <c r="H9" s="2"/>
    </row>
    <row r="10" spans="2:11" x14ac:dyDescent="0.25">
      <c r="B10" s="34" t="s">
        <v>44</v>
      </c>
      <c r="C10" s="49"/>
      <c r="D10" s="49"/>
      <c r="E10" s="49"/>
      <c r="F10" s="48"/>
      <c r="G10" s="59"/>
      <c r="H10" s="2"/>
    </row>
    <row r="11" spans="2:11" x14ac:dyDescent="0.25">
      <c r="B11" s="78" t="s">
        <v>133</v>
      </c>
      <c r="C11" s="76" t="s">
        <v>143</v>
      </c>
      <c r="D11" s="76" t="s">
        <v>339</v>
      </c>
      <c r="E11" s="12">
        <v>46203</v>
      </c>
      <c r="F11" s="3">
        <v>1400000</v>
      </c>
      <c r="G11" s="33">
        <f>740559.4+138854.88</f>
        <v>879414.28</v>
      </c>
      <c r="H11" t="s">
        <v>134</v>
      </c>
    </row>
    <row r="12" spans="2:11" x14ac:dyDescent="0.25">
      <c r="B12" s="78" t="s">
        <v>135</v>
      </c>
      <c r="C12" s="76" t="s">
        <v>145</v>
      </c>
      <c r="D12" s="169">
        <v>46387</v>
      </c>
      <c r="E12" s="12">
        <v>46203</v>
      </c>
      <c r="F12" s="3">
        <v>1024265</v>
      </c>
      <c r="G12" s="33">
        <f>481600+90300</f>
        <v>571900</v>
      </c>
      <c r="H12" t="s">
        <v>136</v>
      </c>
    </row>
    <row r="13" spans="2:11" x14ac:dyDescent="0.25">
      <c r="B13" s="6" t="s">
        <v>141</v>
      </c>
      <c r="C13" s="1" t="s">
        <v>145</v>
      </c>
      <c r="D13" s="12">
        <v>46203</v>
      </c>
      <c r="E13" s="12">
        <v>46203</v>
      </c>
      <c r="F13" s="3">
        <v>420000</v>
      </c>
      <c r="G13" s="33">
        <v>320000</v>
      </c>
      <c r="H13" t="s">
        <v>140</v>
      </c>
    </row>
    <row r="14" spans="2:11" x14ac:dyDescent="0.25">
      <c r="B14" s="78" t="s">
        <v>139</v>
      </c>
      <c r="C14" s="76" t="s">
        <v>144</v>
      </c>
      <c r="D14" s="76" t="s">
        <v>328</v>
      </c>
      <c r="E14" s="12">
        <v>46022</v>
      </c>
      <c r="F14" s="3">
        <v>302500</v>
      </c>
      <c r="G14" s="33">
        <v>242000</v>
      </c>
      <c r="H14" t="s">
        <v>137</v>
      </c>
      <c r="J14" t="s">
        <v>352</v>
      </c>
    </row>
    <row r="15" spans="2:11" ht="15.75" thickBot="1" x14ac:dyDescent="0.3">
      <c r="B15" s="78" t="s">
        <v>138</v>
      </c>
      <c r="C15" s="76" t="s">
        <v>144</v>
      </c>
      <c r="D15" s="76" t="s">
        <v>328</v>
      </c>
      <c r="E15" s="12">
        <v>46203</v>
      </c>
      <c r="F15" s="3">
        <f>1744386+366321</f>
        <v>2110707</v>
      </c>
      <c r="G15" s="33">
        <v>898000</v>
      </c>
      <c r="H15" t="s">
        <v>137</v>
      </c>
    </row>
    <row r="16" spans="2:11" ht="15.75" thickBot="1" x14ac:dyDescent="0.3">
      <c r="B16" s="60" t="s">
        <v>13</v>
      </c>
      <c r="C16" s="61"/>
      <c r="D16" s="61"/>
      <c r="E16" s="61"/>
      <c r="F16" s="62">
        <f>SUM(F11:F15)</f>
        <v>5257472</v>
      </c>
      <c r="G16" s="63">
        <f>SUM(G11:G15)</f>
        <v>2911314.2800000003</v>
      </c>
    </row>
    <row r="17" spans="2:8" ht="15.75" thickBot="1" x14ac:dyDescent="0.3"/>
    <row r="18" spans="2:8" x14ac:dyDescent="0.25">
      <c r="B18" s="77" t="s">
        <v>340</v>
      </c>
      <c r="C18" s="75"/>
      <c r="D18" s="75"/>
      <c r="E18" s="49"/>
      <c r="F18" s="49"/>
      <c r="G18" s="72"/>
    </row>
    <row r="19" spans="2:8" ht="16.5" thickBot="1" x14ac:dyDescent="0.3">
      <c r="B19" s="78" t="s">
        <v>131</v>
      </c>
      <c r="C19" s="76" t="s">
        <v>128</v>
      </c>
      <c r="D19" s="169">
        <v>46203</v>
      </c>
      <c r="E19" s="83">
        <v>2026</v>
      </c>
      <c r="F19" s="3">
        <v>734712</v>
      </c>
      <c r="G19" s="33">
        <f>1500*276</f>
        <v>414000</v>
      </c>
      <c r="H19" t="s">
        <v>130</v>
      </c>
    </row>
    <row r="20" spans="2:8" ht="15.75" thickBot="1" x14ac:dyDescent="0.3">
      <c r="B20" s="79" t="s">
        <v>13</v>
      </c>
      <c r="C20" s="57"/>
      <c r="D20" s="57"/>
      <c r="E20" s="61"/>
      <c r="F20" s="73">
        <f>SUM(F19:F19)</f>
        <v>734712</v>
      </c>
      <c r="G20" s="74">
        <f>SUM(G19:G19)</f>
        <v>414000</v>
      </c>
    </row>
    <row r="21" spans="2:8" ht="15.75" thickBot="1" x14ac:dyDescent="0.3"/>
    <row r="22" spans="2:8" x14ac:dyDescent="0.25">
      <c r="B22" s="41" t="s">
        <v>341</v>
      </c>
      <c r="C22" s="4"/>
      <c r="D22" s="80"/>
      <c r="E22" s="37"/>
      <c r="F22" s="37"/>
      <c r="G22" s="5"/>
    </row>
    <row r="23" spans="2:8" x14ac:dyDescent="0.25">
      <c r="B23" s="42" t="s">
        <v>146</v>
      </c>
      <c r="C23" s="170" t="s">
        <v>147</v>
      </c>
      <c r="D23" s="171"/>
      <c r="E23" s="1">
        <v>2025</v>
      </c>
      <c r="F23" s="3">
        <v>300000</v>
      </c>
      <c r="G23" s="33" t="s">
        <v>147</v>
      </c>
    </row>
    <row r="24" spans="2:8" ht="15.75" thickBot="1" x14ac:dyDescent="0.3">
      <c r="B24" s="43" t="s">
        <v>329</v>
      </c>
      <c r="C24" s="172" t="s">
        <v>147</v>
      </c>
      <c r="D24" s="173"/>
      <c r="E24" s="174">
        <v>2025</v>
      </c>
      <c r="F24" s="38">
        <v>200000</v>
      </c>
      <c r="G24" s="39">
        <v>200000</v>
      </c>
    </row>
    <row r="25" spans="2:8" ht="15.75" thickBot="1" x14ac:dyDescent="0.3">
      <c r="B25" s="64" t="s">
        <v>13</v>
      </c>
      <c r="C25" s="64"/>
      <c r="D25" s="65"/>
      <c r="E25" s="65"/>
      <c r="F25" s="66">
        <f>SUM(F23:F24)</f>
        <v>500000</v>
      </c>
      <c r="G25" s="67">
        <f>SUM(G23:G24)</f>
        <v>200000</v>
      </c>
    </row>
    <row r="26" spans="2:8" x14ac:dyDescent="0.25">
      <c r="B26" t="s">
        <v>118</v>
      </c>
    </row>
    <row r="27" spans="2:8" x14ac:dyDescent="0.25">
      <c r="F27" t="s">
        <v>13</v>
      </c>
      <c r="G27" s="147">
        <f>G16+G20+G24</f>
        <v>3525314.2800000003</v>
      </c>
    </row>
    <row r="28" spans="2:8" x14ac:dyDescent="0.25">
      <c r="E28" t="s">
        <v>132</v>
      </c>
      <c r="G28">
        <f>20383*7</f>
        <v>142681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B34C-E214-437C-94D4-63A769EA823B}">
  <dimension ref="B2:K131"/>
  <sheetViews>
    <sheetView topLeftCell="A34" zoomScale="115" zoomScaleNormal="115" workbookViewId="0">
      <selection activeCell="F21" sqref="F21"/>
    </sheetView>
  </sheetViews>
  <sheetFormatPr defaultRowHeight="15" x14ac:dyDescent="0.25"/>
  <cols>
    <col min="2" max="2" width="7.7109375" bestFit="1" customWidth="1"/>
    <col min="3" max="3" width="62" customWidth="1"/>
    <col min="4" max="4" width="14.5703125" customWidth="1"/>
    <col min="5" max="5" width="13.85546875" bestFit="1" customWidth="1"/>
    <col min="6" max="6" width="28.7109375" bestFit="1" customWidth="1"/>
    <col min="11" max="11" width="18.140625" customWidth="1"/>
    <col min="13" max="13" width="12.85546875" bestFit="1" customWidth="1"/>
    <col min="14" max="14" width="14.28515625" customWidth="1"/>
    <col min="15" max="15" width="16" customWidth="1"/>
  </cols>
  <sheetData>
    <row r="2" spans="2:11" x14ac:dyDescent="0.25">
      <c r="B2" t="s">
        <v>12</v>
      </c>
      <c r="D2" t="s">
        <v>14</v>
      </c>
      <c r="E2" t="s">
        <v>89</v>
      </c>
      <c r="F2" t="s">
        <v>84</v>
      </c>
    </row>
    <row r="3" spans="2:11" x14ac:dyDescent="0.25">
      <c r="B3" s="13">
        <v>2212</v>
      </c>
      <c r="C3" s="13" t="s">
        <v>6</v>
      </c>
      <c r="D3" s="15"/>
      <c r="E3" s="14"/>
    </row>
    <row r="4" spans="2:11" x14ac:dyDescent="0.25">
      <c r="C4" s="70" t="s">
        <v>67</v>
      </c>
      <c r="D4" s="71">
        <v>100000</v>
      </c>
      <c r="E4" s="32"/>
      <c r="K4" t="s">
        <v>120</v>
      </c>
    </row>
    <row r="5" spans="2:11" x14ac:dyDescent="0.25">
      <c r="C5" s="13" t="s">
        <v>13</v>
      </c>
      <c r="D5" s="15">
        <f>SUM(D4)</f>
        <v>100000</v>
      </c>
      <c r="E5" s="14"/>
    </row>
    <row r="6" spans="2:11" x14ac:dyDescent="0.25">
      <c r="D6" s="14"/>
      <c r="E6" s="14"/>
    </row>
    <row r="7" spans="2:11" x14ac:dyDescent="0.25">
      <c r="B7" s="13">
        <v>2219</v>
      </c>
      <c r="C7" s="13" t="s">
        <v>0</v>
      </c>
      <c r="D7" s="15"/>
      <c r="E7" s="14"/>
    </row>
    <row r="8" spans="2:11" x14ac:dyDescent="0.25">
      <c r="C8" s="28" t="s">
        <v>15</v>
      </c>
      <c r="D8" s="29">
        <v>700000</v>
      </c>
      <c r="E8" s="29"/>
      <c r="F8" t="s">
        <v>93</v>
      </c>
    </row>
    <row r="9" spans="2:11" x14ac:dyDescent="0.25">
      <c r="C9" s="31" t="s">
        <v>94</v>
      </c>
      <c r="D9" s="32">
        <v>350000</v>
      </c>
      <c r="E9" s="32"/>
      <c r="K9" t="s">
        <v>121</v>
      </c>
    </row>
    <row r="10" spans="2:11" x14ac:dyDescent="0.25">
      <c r="C10" s="13" t="s">
        <v>13</v>
      </c>
      <c r="D10" s="15">
        <f>SUM(D8:D9)</f>
        <v>1050000</v>
      </c>
      <c r="E10" s="14"/>
      <c r="K10" t="s">
        <v>122</v>
      </c>
    </row>
    <row r="11" spans="2:11" x14ac:dyDescent="0.25">
      <c r="D11" s="14"/>
      <c r="E11" s="14"/>
      <c r="K11" t="s">
        <v>124</v>
      </c>
    </row>
    <row r="12" spans="2:11" x14ac:dyDescent="0.25">
      <c r="B12" s="13">
        <v>2310</v>
      </c>
      <c r="C12" s="13" t="s">
        <v>1</v>
      </c>
      <c r="D12" s="14"/>
      <c r="E12" s="14"/>
      <c r="K12" t="s">
        <v>125</v>
      </c>
    </row>
    <row r="13" spans="2:11" x14ac:dyDescent="0.25">
      <c r="C13" s="18" t="s">
        <v>47</v>
      </c>
      <c r="D13" s="19">
        <v>290000</v>
      </c>
      <c r="E13" s="19"/>
      <c r="F13">
        <v>714000</v>
      </c>
      <c r="K13" t="s">
        <v>126</v>
      </c>
    </row>
    <row r="14" spans="2:11" x14ac:dyDescent="0.25">
      <c r="C14" s="18" t="s">
        <v>95</v>
      </c>
      <c r="D14" s="19">
        <v>87000</v>
      </c>
      <c r="E14" s="19"/>
      <c r="K14" t="s">
        <v>127</v>
      </c>
    </row>
    <row r="15" spans="2:11" x14ac:dyDescent="0.25">
      <c r="C15" s="16" t="s">
        <v>115</v>
      </c>
      <c r="D15" s="17">
        <v>1000000</v>
      </c>
      <c r="E15" s="17">
        <v>500000</v>
      </c>
      <c r="F15" t="s">
        <v>110</v>
      </c>
    </row>
    <row r="16" spans="2:11" x14ac:dyDescent="0.25">
      <c r="C16" s="18" t="s">
        <v>98</v>
      </c>
      <c r="D16" s="19">
        <v>100000</v>
      </c>
      <c r="E16" s="19"/>
    </row>
    <row r="17" spans="2:6" x14ac:dyDescent="0.25">
      <c r="C17" s="13" t="s">
        <v>13</v>
      </c>
      <c r="D17" s="15">
        <f>SUM(D13:D16)</f>
        <v>1477000</v>
      </c>
      <c r="E17" s="14"/>
    </row>
    <row r="18" spans="2:6" x14ac:dyDescent="0.25">
      <c r="D18" s="14"/>
      <c r="E18" s="14"/>
    </row>
    <row r="19" spans="2:6" x14ac:dyDescent="0.25">
      <c r="B19" s="13">
        <v>2321</v>
      </c>
      <c r="C19" s="13" t="s">
        <v>2</v>
      </c>
      <c r="D19" s="15"/>
      <c r="E19" s="14"/>
    </row>
    <row r="20" spans="2:6" x14ac:dyDescent="0.25">
      <c r="C20" s="18" t="s">
        <v>16</v>
      </c>
      <c r="D20" s="19">
        <v>1000000</v>
      </c>
      <c r="E20" s="19"/>
    </row>
    <row r="21" spans="2:6" x14ac:dyDescent="0.25">
      <c r="C21" s="16" t="s">
        <v>99</v>
      </c>
      <c r="D21" s="17">
        <v>1600000</v>
      </c>
      <c r="E21" s="17"/>
    </row>
    <row r="22" spans="2:6" x14ac:dyDescent="0.25">
      <c r="C22" s="18" t="s">
        <v>96</v>
      </c>
      <c r="D22" s="19">
        <v>12000</v>
      </c>
      <c r="E22" s="19"/>
    </row>
    <row r="23" spans="2:6" x14ac:dyDescent="0.25">
      <c r="C23" s="18" t="s">
        <v>46</v>
      </c>
      <c r="D23" s="19">
        <v>1000000</v>
      </c>
      <c r="E23" s="19"/>
    </row>
    <row r="24" spans="2:6" x14ac:dyDescent="0.25">
      <c r="C24" s="28" t="s">
        <v>72</v>
      </c>
      <c r="D24" s="29">
        <v>300000</v>
      </c>
      <c r="E24" s="29"/>
    </row>
    <row r="25" spans="2:6" x14ac:dyDescent="0.25">
      <c r="C25" s="16" t="s">
        <v>83</v>
      </c>
      <c r="D25" s="17">
        <v>3553770</v>
      </c>
      <c r="E25" s="17">
        <v>2665327.5</v>
      </c>
    </row>
    <row r="26" spans="2:6" x14ac:dyDescent="0.25">
      <c r="C26" s="13" t="s">
        <v>13</v>
      </c>
      <c r="D26" s="15">
        <f>SUM(D20:D25)</f>
        <v>7465770</v>
      </c>
      <c r="E26" s="14"/>
    </row>
    <row r="27" spans="2:6" x14ac:dyDescent="0.25">
      <c r="D27" s="14"/>
      <c r="E27" s="14"/>
    </row>
    <row r="28" spans="2:6" x14ac:dyDescent="0.25">
      <c r="B28" s="13">
        <v>3113</v>
      </c>
      <c r="C28" s="13" t="s">
        <v>7</v>
      </c>
      <c r="D28" s="15"/>
      <c r="E28" s="15"/>
      <c r="F28" t="s">
        <v>111</v>
      </c>
    </row>
    <row r="29" spans="2:6" x14ac:dyDescent="0.25">
      <c r="C29" s="16" t="s">
        <v>49</v>
      </c>
      <c r="D29" s="17">
        <v>2246418.52</v>
      </c>
      <c r="E29" s="17">
        <v>1313354.6000000001</v>
      </c>
    </row>
    <row r="30" spans="2:6" x14ac:dyDescent="0.25">
      <c r="C30" s="28" t="s">
        <v>50</v>
      </c>
      <c r="D30" s="29">
        <v>2000000</v>
      </c>
      <c r="E30" s="29"/>
    </row>
    <row r="31" spans="2:6" x14ac:dyDescent="0.25">
      <c r="C31" s="28" t="s">
        <v>51</v>
      </c>
      <c r="D31" s="29">
        <v>1000000</v>
      </c>
      <c r="E31" s="29"/>
    </row>
    <row r="32" spans="2:6" x14ac:dyDescent="0.25">
      <c r="C32" s="28" t="s">
        <v>52</v>
      </c>
      <c r="D32" s="29">
        <v>700000</v>
      </c>
      <c r="E32" s="29"/>
    </row>
    <row r="33" spans="2:5" x14ac:dyDescent="0.25">
      <c r="C33" s="28" t="s">
        <v>53</v>
      </c>
      <c r="D33" s="29">
        <v>2000000</v>
      </c>
      <c r="E33" s="29"/>
    </row>
    <row r="34" spans="2:5" x14ac:dyDescent="0.25">
      <c r="C34" s="16" t="s">
        <v>65</v>
      </c>
      <c r="D34" s="17">
        <v>400000</v>
      </c>
      <c r="E34" s="17"/>
    </row>
    <row r="35" spans="2:5" x14ac:dyDescent="0.25">
      <c r="C35" s="16" t="s">
        <v>17</v>
      </c>
      <c r="D35" s="17">
        <f>414486-69303</f>
        <v>345183</v>
      </c>
      <c r="E35" s="17"/>
    </row>
    <row r="36" spans="2:5" x14ac:dyDescent="0.25">
      <c r="C36" s="28" t="s">
        <v>66</v>
      </c>
      <c r="D36" s="29">
        <v>250000</v>
      </c>
      <c r="E36" s="29"/>
    </row>
    <row r="37" spans="2:5" x14ac:dyDescent="0.25">
      <c r="C37" s="28" t="s">
        <v>116</v>
      </c>
      <c r="D37" s="29">
        <v>702000</v>
      </c>
      <c r="E37" s="29" t="s">
        <v>119</v>
      </c>
    </row>
    <row r="38" spans="2:5" x14ac:dyDescent="0.25">
      <c r="C38" s="13" t="s">
        <v>13</v>
      </c>
      <c r="D38" s="15">
        <f>SUM(D29:D37)</f>
        <v>9643601.5199999996</v>
      </c>
      <c r="E38" s="14"/>
    </row>
    <row r="39" spans="2:5" x14ac:dyDescent="0.25">
      <c r="D39" s="14"/>
      <c r="E39" s="14"/>
    </row>
    <row r="40" spans="2:5" x14ac:dyDescent="0.25">
      <c r="B40">
        <v>3612</v>
      </c>
      <c r="C40" t="s">
        <v>3</v>
      </c>
      <c r="D40" s="14"/>
      <c r="E40" s="14"/>
    </row>
    <row r="41" spans="2:5" x14ac:dyDescent="0.25">
      <c r="C41" s="18" t="s">
        <v>60</v>
      </c>
      <c r="D41" s="19">
        <v>700000</v>
      </c>
      <c r="E41" s="19"/>
    </row>
    <row r="42" spans="2:5" x14ac:dyDescent="0.25">
      <c r="C42" s="31" t="s">
        <v>61</v>
      </c>
      <c r="D42" s="32">
        <v>1000000</v>
      </c>
      <c r="E42" s="32"/>
    </row>
    <row r="43" spans="2:5" x14ac:dyDescent="0.25">
      <c r="C43" s="28" t="s">
        <v>62</v>
      </c>
      <c r="D43" s="29">
        <v>500000</v>
      </c>
      <c r="E43" s="29"/>
    </row>
    <row r="44" spans="2:5" x14ac:dyDescent="0.25">
      <c r="C44" s="31" t="s">
        <v>71</v>
      </c>
      <c r="D44" s="32">
        <v>300000</v>
      </c>
      <c r="E44" s="32"/>
    </row>
    <row r="45" spans="2:5" x14ac:dyDescent="0.25">
      <c r="C45" s="18" t="s">
        <v>82</v>
      </c>
      <c r="D45" s="19">
        <v>1000000</v>
      </c>
      <c r="E45" s="19">
        <v>750000</v>
      </c>
    </row>
    <row r="46" spans="2:5" x14ac:dyDescent="0.25">
      <c r="C46" s="13" t="s">
        <v>13</v>
      </c>
      <c r="D46" s="15">
        <f>SUM(D41:D45)</f>
        <v>3500000</v>
      </c>
      <c r="E46" s="14"/>
    </row>
    <row r="47" spans="2:5" x14ac:dyDescent="0.25">
      <c r="D47" s="14"/>
      <c r="E47" s="14"/>
    </row>
    <row r="48" spans="2:5" x14ac:dyDescent="0.25">
      <c r="B48" s="13">
        <v>3631</v>
      </c>
      <c r="C48" s="13" t="s">
        <v>18</v>
      </c>
      <c r="D48" s="14"/>
      <c r="E48" s="14"/>
    </row>
    <row r="49" spans="3:6" x14ac:dyDescent="0.25">
      <c r="C49" s="13" t="s">
        <v>19</v>
      </c>
      <c r="D49" s="14"/>
      <c r="E49" s="14"/>
    </row>
    <row r="50" spans="3:6" x14ac:dyDescent="0.25">
      <c r="C50" s="18" t="s">
        <v>20</v>
      </c>
      <c r="D50" s="19">
        <v>120000</v>
      </c>
      <c r="E50" s="19"/>
      <c r="F50" t="s">
        <v>21</v>
      </c>
    </row>
    <row r="51" spans="3:6" x14ac:dyDescent="0.25">
      <c r="C51" s="28" t="s">
        <v>22</v>
      </c>
      <c r="D51" s="29">
        <v>120000</v>
      </c>
      <c r="E51" s="29"/>
      <c r="F51" t="s">
        <v>23</v>
      </c>
    </row>
    <row r="52" spans="3:6" x14ac:dyDescent="0.25">
      <c r="C52" s="28" t="s">
        <v>24</v>
      </c>
      <c r="D52" s="29">
        <v>120000</v>
      </c>
      <c r="E52" s="29"/>
      <c r="F52" t="s">
        <v>25</v>
      </c>
    </row>
    <row r="53" spans="3:6" x14ac:dyDescent="0.25">
      <c r="C53" s="18" t="s">
        <v>97</v>
      </c>
      <c r="D53" s="19">
        <v>120000</v>
      </c>
      <c r="E53" s="19"/>
      <c r="F53" t="s">
        <v>27</v>
      </c>
    </row>
    <row r="54" spans="3:6" x14ac:dyDescent="0.25">
      <c r="C54" s="18" t="s">
        <v>28</v>
      </c>
      <c r="D54" s="19">
        <v>120000</v>
      </c>
      <c r="E54" s="19"/>
      <c r="F54" t="s">
        <v>29</v>
      </c>
    </row>
    <row r="55" spans="3:6" x14ac:dyDescent="0.25">
      <c r="C55" s="18" t="s">
        <v>54</v>
      </c>
      <c r="D55" s="19">
        <v>120000</v>
      </c>
      <c r="E55" s="19"/>
      <c r="F55" t="s">
        <v>29</v>
      </c>
    </row>
    <row r="56" spans="3:6" x14ac:dyDescent="0.25">
      <c r="C56" s="18" t="s">
        <v>31</v>
      </c>
      <c r="D56" s="19">
        <v>120000</v>
      </c>
      <c r="E56" s="19"/>
      <c r="F56" t="s">
        <v>32</v>
      </c>
    </row>
    <row r="57" spans="3:6" x14ac:dyDescent="0.25">
      <c r="C57" s="18" t="s">
        <v>33</v>
      </c>
      <c r="D57" s="19">
        <v>50000</v>
      </c>
      <c r="E57" s="19"/>
    </row>
    <row r="58" spans="3:6" x14ac:dyDescent="0.25">
      <c r="C58" s="13" t="s">
        <v>34</v>
      </c>
      <c r="D58" s="14"/>
      <c r="E58" s="14"/>
      <c r="F58" t="s">
        <v>35</v>
      </c>
    </row>
    <row r="59" spans="3:6" x14ac:dyDescent="0.25">
      <c r="C59" s="18" t="s">
        <v>20</v>
      </c>
      <c r="D59" s="19">
        <f>8*50000</f>
        <v>400000</v>
      </c>
      <c r="E59" s="19"/>
    </row>
    <row r="60" spans="3:6" x14ac:dyDescent="0.25">
      <c r="C60" s="31" t="s">
        <v>22</v>
      </c>
      <c r="D60" s="32">
        <f>14*50000</f>
        <v>700000</v>
      </c>
      <c r="E60" s="32"/>
    </row>
    <row r="61" spans="3:6" x14ac:dyDescent="0.25">
      <c r="C61" s="31" t="s">
        <v>24</v>
      </c>
      <c r="D61" s="32">
        <f>10*50000</f>
        <v>500000</v>
      </c>
      <c r="E61" s="32"/>
    </row>
    <row r="62" spans="3:6" x14ac:dyDescent="0.25">
      <c r="C62" s="31" t="s">
        <v>26</v>
      </c>
      <c r="D62" s="32">
        <f>8*50000</f>
        <v>400000</v>
      </c>
      <c r="E62" s="32"/>
    </row>
    <row r="63" spans="3:6" x14ac:dyDescent="0.25">
      <c r="C63" s="18" t="s">
        <v>28</v>
      </c>
      <c r="D63" s="19">
        <f>7*50000</f>
        <v>350000</v>
      </c>
      <c r="E63" s="19"/>
    </row>
    <row r="64" spans="3:6" x14ac:dyDescent="0.25">
      <c r="C64" s="18" t="s">
        <v>30</v>
      </c>
      <c r="D64" s="19">
        <f>7*50000</f>
        <v>350000</v>
      </c>
      <c r="E64" s="19"/>
    </row>
    <row r="65" spans="2:6" x14ac:dyDescent="0.25">
      <c r="C65" s="18" t="s">
        <v>31</v>
      </c>
      <c r="D65" s="19">
        <f>8*50000</f>
        <v>400000</v>
      </c>
      <c r="E65" s="19"/>
    </row>
    <row r="66" spans="2:6" x14ac:dyDescent="0.25">
      <c r="C66" s="18" t="s">
        <v>36</v>
      </c>
      <c r="D66" s="19">
        <f>1550*1000</f>
        <v>1550000</v>
      </c>
      <c r="E66" s="19"/>
    </row>
    <row r="67" spans="2:6" x14ac:dyDescent="0.25">
      <c r="C67" s="18" t="s">
        <v>33</v>
      </c>
      <c r="D67" s="19">
        <v>200000</v>
      </c>
      <c r="E67" s="19"/>
    </row>
    <row r="68" spans="2:6" x14ac:dyDescent="0.25">
      <c r="C68" s="13" t="s">
        <v>13</v>
      </c>
      <c r="D68" s="15">
        <f>SUM(D50:D67)</f>
        <v>5740000</v>
      </c>
      <c r="E68" s="14"/>
    </row>
    <row r="69" spans="2:6" x14ac:dyDescent="0.25">
      <c r="D69" s="14"/>
      <c r="E69" s="14"/>
    </row>
    <row r="70" spans="2:6" x14ac:dyDescent="0.25">
      <c r="B70" s="13">
        <v>3635</v>
      </c>
      <c r="C70" s="13" t="s">
        <v>8</v>
      </c>
      <c r="D70" s="15"/>
      <c r="E70" s="14"/>
    </row>
    <row r="71" spans="2:6" x14ac:dyDescent="0.25">
      <c r="C71" s="18" t="s">
        <v>48</v>
      </c>
      <c r="D71" s="19">
        <v>300000</v>
      </c>
      <c r="E71" s="19"/>
    </row>
    <row r="72" spans="2:6" x14ac:dyDescent="0.25">
      <c r="C72" s="20" t="s">
        <v>13</v>
      </c>
      <c r="D72" s="21">
        <f>SUM(D71:D71)</f>
        <v>300000</v>
      </c>
      <c r="E72" s="19"/>
    </row>
    <row r="73" spans="2:6" x14ac:dyDescent="0.25">
      <c r="D73" s="14"/>
      <c r="E73" s="14"/>
    </row>
    <row r="74" spans="2:6" x14ac:dyDescent="0.25">
      <c r="B74" s="13">
        <v>3636</v>
      </c>
      <c r="C74" s="13" t="s">
        <v>9</v>
      </c>
      <c r="D74" s="15"/>
      <c r="E74" s="14"/>
    </row>
    <row r="75" spans="2:6" x14ac:dyDescent="0.25">
      <c r="C75" s="68" t="s">
        <v>37</v>
      </c>
      <c r="D75" s="69">
        <f>725395-362643.05-161223</f>
        <v>201528.95</v>
      </c>
      <c r="E75" s="69"/>
      <c r="F75" t="s">
        <v>112</v>
      </c>
    </row>
    <row r="76" spans="2:6" x14ac:dyDescent="0.25">
      <c r="C76" s="16" t="s">
        <v>101</v>
      </c>
      <c r="D76" s="17">
        <v>250000</v>
      </c>
      <c r="E76" s="17"/>
    </row>
    <row r="77" spans="2:6" x14ac:dyDescent="0.25">
      <c r="C77" s="16" t="s">
        <v>100</v>
      </c>
      <c r="D77" s="17">
        <v>310000</v>
      </c>
      <c r="E77" s="17"/>
    </row>
    <row r="78" spans="2:6" x14ac:dyDescent="0.25">
      <c r="C78" s="13" t="s">
        <v>13</v>
      </c>
      <c r="D78" s="15">
        <f>SUM(D75:D77)</f>
        <v>761528.95</v>
      </c>
      <c r="E78" s="14"/>
    </row>
    <row r="79" spans="2:6" x14ac:dyDescent="0.25">
      <c r="D79" s="14"/>
      <c r="E79" s="14"/>
    </row>
    <row r="80" spans="2:6" x14ac:dyDescent="0.25">
      <c r="B80" s="13">
        <v>3723</v>
      </c>
      <c r="C80" s="13" t="s">
        <v>10</v>
      </c>
      <c r="D80" s="14"/>
      <c r="E80" s="14"/>
    </row>
    <row r="81" spans="2:6" x14ac:dyDescent="0.25">
      <c r="C81" s="16" t="s">
        <v>63</v>
      </c>
      <c r="D81" s="17">
        <v>200000</v>
      </c>
      <c r="E81" s="17"/>
    </row>
    <row r="82" spans="2:6" x14ac:dyDescent="0.25">
      <c r="C82" s="31" t="s">
        <v>64</v>
      </c>
      <c r="D82" s="32">
        <v>1000000</v>
      </c>
      <c r="E82" s="32"/>
    </row>
    <row r="83" spans="2:6" x14ac:dyDescent="0.25">
      <c r="C83" s="13" t="s">
        <v>13</v>
      </c>
      <c r="D83" s="15">
        <f>SUM(D81:D82)</f>
        <v>1200000</v>
      </c>
      <c r="E83" s="14"/>
    </row>
    <row r="84" spans="2:6" x14ac:dyDescent="0.25">
      <c r="D84" s="14"/>
      <c r="E84" s="14"/>
    </row>
    <row r="85" spans="2:6" x14ac:dyDescent="0.25">
      <c r="B85" s="13">
        <v>3745</v>
      </c>
      <c r="C85" s="13" t="s">
        <v>4</v>
      </c>
      <c r="D85" s="14"/>
      <c r="E85" s="14"/>
    </row>
    <row r="86" spans="2:6" x14ac:dyDescent="0.25">
      <c r="C86" s="16" t="s">
        <v>56</v>
      </c>
      <c r="D86" s="17">
        <f>1017000*1</f>
        <v>1017000</v>
      </c>
      <c r="E86" s="16"/>
      <c r="F86" s="14" t="s">
        <v>55</v>
      </c>
    </row>
    <row r="87" spans="2:6" x14ac:dyDescent="0.25">
      <c r="C87" s="28" t="s">
        <v>57</v>
      </c>
      <c r="D87" s="29">
        <v>400000</v>
      </c>
      <c r="E87" s="29"/>
    </row>
    <row r="88" spans="2:6" x14ac:dyDescent="0.25">
      <c r="C88" s="16" t="s">
        <v>58</v>
      </c>
      <c r="D88" s="17">
        <v>2565679</v>
      </c>
      <c r="E88" s="17">
        <v>571273</v>
      </c>
    </row>
    <row r="89" spans="2:6" x14ac:dyDescent="0.25">
      <c r="C89" s="18" t="s">
        <v>59</v>
      </c>
      <c r="D89" s="19">
        <v>3000000</v>
      </c>
      <c r="E89" s="19"/>
    </row>
    <row r="90" spans="2:6" x14ac:dyDescent="0.25">
      <c r="C90" s="31" t="s">
        <v>68</v>
      </c>
      <c r="D90" s="32">
        <v>150000</v>
      </c>
      <c r="E90" s="32"/>
    </row>
    <row r="91" spans="2:6" x14ac:dyDescent="0.25">
      <c r="C91" s="31" t="s">
        <v>69</v>
      </c>
      <c r="D91" s="32">
        <v>200000</v>
      </c>
      <c r="E91" s="32"/>
    </row>
    <row r="92" spans="2:6" x14ac:dyDescent="0.25">
      <c r="C92" s="16" t="s">
        <v>80</v>
      </c>
      <c r="D92" s="17">
        <v>850000</v>
      </c>
      <c r="E92" s="17">
        <v>600000</v>
      </c>
    </row>
    <row r="93" spans="2:6" x14ac:dyDescent="0.25">
      <c r="C93" s="16" t="s">
        <v>91</v>
      </c>
      <c r="D93" s="17">
        <v>220000</v>
      </c>
      <c r="E93" s="17"/>
    </row>
    <row r="94" spans="2:6" x14ac:dyDescent="0.25">
      <c r="C94" s="16" t="s">
        <v>92</v>
      </c>
      <c r="D94" s="17">
        <v>300000</v>
      </c>
      <c r="E94" s="17">
        <v>300000</v>
      </c>
    </row>
    <row r="95" spans="2:6" x14ac:dyDescent="0.25">
      <c r="C95" s="13" t="s">
        <v>13</v>
      </c>
      <c r="D95" s="15">
        <f>SUM(D86:D94)</f>
        <v>8702679</v>
      </c>
      <c r="E95" s="14"/>
    </row>
    <row r="96" spans="2:6" x14ac:dyDescent="0.25">
      <c r="D96" s="14"/>
      <c r="E96" s="14"/>
    </row>
    <row r="97" spans="2:6" x14ac:dyDescent="0.25">
      <c r="B97" s="13">
        <v>5512</v>
      </c>
      <c r="C97" s="13" t="s">
        <v>11</v>
      </c>
      <c r="D97" s="15"/>
      <c r="E97" s="14"/>
    </row>
    <row r="98" spans="2:6" x14ac:dyDescent="0.25">
      <c r="C98" s="18" t="s">
        <v>81</v>
      </c>
      <c r="D98" s="19">
        <v>800000</v>
      </c>
      <c r="E98" s="19">
        <v>475000</v>
      </c>
      <c r="F98" t="s">
        <v>79</v>
      </c>
    </row>
    <row r="99" spans="2:6" x14ac:dyDescent="0.25">
      <c r="C99" s="30" t="s">
        <v>90</v>
      </c>
      <c r="D99" s="19">
        <v>450000</v>
      </c>
      <c r="E99" s="19">
        <v>300000</v>
      </c>
    </row>
    <row r="100" spans="2:6" x14ac:dyDescent="0.25">
      <c r="C100" s="13" t="s">
        <v>13</v>
      </c>
      <c r="D100" s="15">
        <f>SUM(D98:D99)</f>
        <v>1250000</v>
      </c>
      <c r="E100" s="14"/>
    </row>
    <row r="101" spans="2:6" x14ac:dyDescent="0.25">
      <c r="D101" s="14"/>
      <c r="E101" s="14"/>
    </row>
    <row r="102" spans="2:6" x14ac:dyDescent="0.25">
      <c r="B102" s="13">
        <v>6171</v>
      </c>
      <c r="C102" s="13" t="s">
        <v>5</v>
      </c>
      <c r="E102" s="14"/>
    </row>
    <row r="103" spans="2:6" x14ac:dyDescent="0.25">
      <c r="C103" s="16" t="s">
        <v>106</v>
      </c>
      <c r="D103" s="17">
        <f>37200000/15</f>
        <v>2480000</v>
      </c>
      <c r="E103" s="17"/>
    </row>
    <row r="104" spans="2:6" x14ac:dyDescent="0.25">
      <c r="C104" s="16" t="s">
        <v>42</v>
      </c>
      <c r="D104" s="17">
        <v>500000</v>
      </c>
      <c r="E104" s="17"/>
    </row>
    <row r="105" spans="2:6" x14ac:dyDescent="0.25">
      <c r="C105" s="28" t="s">
        <v>70</v>
      </c>
      <c r="D105" s="29">
        <v>500000</v>
      </c>
      <c r="E105" s="29"/>
    </row>
    <row r="106" spans="2:6" x14ac:dyDescent="0.25">
      <c r="C106" s="13" t="s">
        <v>13</v>
      </c>
      <c r="D106" s="15">
        <f>SUM(D103:D105)</f>
        <v>3480000</v>
      </c>
      <c r="E106" s="14"/>
    </row>
    <row r="107" spans="2:6" x14ac:dyDescent="0.25">
      <c r="D107" s="14"/>
      <c r="E107" s="14"/>
    </row>
    <row r="108" spans="2:6" x14ac:dyDescent="0.25">
      <c r="D108" s="14" t="s">
        <v>87</v>
      </c>
      <c r="E108" s="14" t="s">
        <v>88</v>
      </c>
    </row>
    <row r="109" spans="2:6" x14ac:dyDescent="0.25">
      <c r="C109" s="13" t="s">
        <v>85</v>
      </c>
      <c r="D109" s="15">
        <f>D5+D10+D17+D26+D38+D46+D68+D72+D78+D83+D95+D100+D106</f>
        <v>44670579.469999999</v>
      </c>
      <c r="E109" s="15">
        <f>SUM(E4:E106)</f>
        <v>7474955.0999999996</v>
      </c>
    </row>
    <row r="110" spans="2:6" x14ac:dyDescent="0.25">
      <c r="C110" s="22" t="s">
        <v>102</v>
      </c>
      <c r="D110" s="23">
        <f>D15+D21+D25+D34+D29+D35+D75+D76+D77+D81+D86+D88+D92+D93+D94+D103+D104</f>
        <v>18039579.469999999</v>
      </c>
      <c r="E110" s="23">
        <f>E15+E21+E25+E34+E29+E35+E75+E76+E77+E81+E86+E88+E92+E93+E94+E103+E104</f>
        <v>5949955.0999999996</v>
      </c>
    </row>
    <row r="111" spans="2:6" x14ac:dyDescent="0.25">
      <c r="C111" s="20" t="s">
        <v>103</v>
      </c>
      <c r="D111" s="21">
        <f>D13+D14+D16+D20+D22+D23+D41+D45+D50+D53+D54+D55+D56+D57+D59+D63+D64+D65+D66+D67+D71+D89+D98+D99</f>
        <v>12639000</v>
      </c>
      <c r="E111" s="21">
        <f>E13+E14+E16+E20+E22+E45+E50+E53+E54+E55+E56+E59+E63+E64+E65+E66+E67+E71+E89+E98+E99</f>
        <v>1525000</v>
      </c>
    </row>
    <row r="112" spans="2:6" x14ac:dyDescent="0.25">
      <c r="C112" s="24" t="s">
        <v>104</v>
      </c>
      <c r="D112" s="25">
        <f>D8+D24+D30+D31+D32+D33+D36+D43+D51+D52+D87+D105+D37</f>
        <v>9292000</v>
      </c>
      <c r="E112" s="25"/>
    </row>
    <row r="113" spans="3:5" x14ac:dyDescent="0.25">
      <c r="C113" s="26" t="s">
        <v>105</v>
      </c>
      <c r="D113" s="27">
        <f>D4+D9+D42+D44+D60+D61+D62+D82+D90+D91</f>
        <v>4700000</v>
      </c>
      <c r="E113" s="27"/>
    </row>
    <row r="114" spans="3:5" x14ac:dyDescent="0.25">
      <c r="C114" s="13" t="s">
        <v>109</v>
      </c>
      <c r="D114" s="15">
        <f>SUM(D110:D113)</f>
        <v>44670579.469999999</v>
      </c>
      <c r="E114" s="15"/>
    </row>
    <row r="115" spans="3:5" x14ac:dyDescent="0.25">
      <c r="D115" s="14"/>
      <c r="E115" s="14"/>
    </row>
    <row r="116" spans="3:5" x14ac:dyDescent="0.25">
      <c r="D116" s="14"/>
      <c r="E116" s="14"/>
    </row>
    <row r="117" spans="3:5" x14ac:dyDescent="0.25">
      <c r="D117" s="14"/>
      <c r="E117" s="14"/>
    </row>
    <row r="118" spans="3:5" x14ac:dyDescent="0.25">
      <c r="C118" t="s">
        <v>38</v>
      </c>
      <c r="D118" s="14"/>
      <c r="E118" s="14"/>
    </row>
    <row r="119" spans="3:5" x14ac:dyDescent="0.25">
      <c r="C119" t="s">
        <v>78</v>
      </c>
    </row>
    <row r="120" spans="3:5" x14ac:dyDescent="0.25">
      <c r="C120" t="s">
        <v>77</v>
      </c>
    </row>
    <row r="121" spans="3:5" x14ac:dyDescent="0.25">
      <c r="C121" t="s">
        <v>76</v>
      </c>
    </row>
    <row r="122" spans="3:5" x14ac:dyDescent="0.25">
      <c r="C122" t="s">
        <v>75</v>
      </c>
    </row>
    <row r="123" spans="3:5" x14ac:dyDescent="0.25">
      <c r="C123" t="s">
        <v>74</v>
      </c>
    </row>
    <row r="124" spans="3:5" x14ac:dyDescent="0.25">
      <c r="C124" t="s">
        <v>40</v>
      </c>
    </row>
    <row r="125" spans="3:5" x14ac:dyDescent="0.25">
      <c r="C125" t="s">
        <v>41</v>
      </c>
    </row>
    <row r="126" spans="3:5" x14ac:dyDescent="0.25">
      <c r="C126" t="s">
        <v>73</v>
      </c>
    </row>
    <row r="127" spans="3:5" x14ac:dyDescent="0.25">
      <c r="C127" t="s">
        <v>113</v>
      </c>
    </row>
    <row r="128" spans="3:5" x14ac:dyDescent="0.25">
      <c r="C128" t="s">
        <v>114</v>
      </c>
    </row>
    <row r="129" spans="3:3" x14ac:dyDescent="0.25">
      <c r="C129" t="s">
        <v>39</v>
      </c>
    </row>
    <row r="130" spans="3:3" x14ac:dyDescent="0.25">
      <c r="C130" t="s">
        <v>86</v>
      </c>
    </row>
    <row r="131" spans="3:3" x14ac:dyDescent="0.25">
      <c r="C131" t="s">
        <v>117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D11B-AFDC-4581-868B-5CFEFEDB4973}">
  <dimension ref="B5:F24"/>
  <sheetViews>
    <sheetView workbookViewId="0">
      <selection activeCell="B13" sqref="B13"/>
    </sheetView>
  </sheetViews>
  <sheetFormatPr defaultRowHeight="15" x14ac:dyDescent="0.25"/>
  <cols>
    <col min="2" max="2" width="32.28515625" customWidth="1"/>
    <col min="3" max="3" width="10.85546875" customWidth="1"/>
    <col min="4" max="5" width="16.28515625" customWidth="1"/>
  </cols>
  <sheetData>
    <row r="5" spans="2:6" ht="15.75" thickBot="1" x14ac:dyDescent="0.3"/>
    <row r="6" spans="2:6" x14ac:dyDescent="0.25">
      <c r="B6" s="4" t="s">
        <v>264</v>
      </c>
      <c r="C6" s="37"/>
      <c r="D6" s="37"/>
      <c r="E6" s="5"/>
      <c r="F6" s="139" t="s">
        <v>266</v>
      </c>
    </row>
    <row r="7" spans="2:6" x14ac:dyDescent="0.25">
      <c r="B7" s="6" t="s">
        <v>265</v>
      </c>
      <c r="C7" s="167">
        <v>5488000</v>
      </c>
      <c r="D7" s="1"/>
      <c r="E7" s="184"/>
    </row>
    <row r="8" spans="2:6" ht="15.75" thickBot="1" x14ac:dyDescent="0.3">
      <c r="B8" s="7" t="s">
        <v>298</v>
      </c>
      <c r="C8" s="188">
        <v>12944019</v>
      </c>
      <c r="D8" s="174"/>
      <c r="E8" s="189"/>
      <c r="F8" s="139" t="s">
        <v>297</v>
      </c>
    </row>
    <row r="13" spans="2:6" ht="15.75" thickBot="1" x14ac:dyDescent="0.3">
      <c r="B13" s="13" t="s">
        <v>342</v>
      </c>
    </row>
    <row r="14" spans="2:6" x14ac:dyDescent="0.25">
      <c r="B14" s="119" t="s">
        <v>300</v>
      </c>
      <c r="C14" s="37" t="s">
        <v>302</v>
      </c>
      <c r="D14" s="46">
        <v>1300000</v>
      </c>
      <c r="E14" s="47">
        <v>1300000</v>
      </c>
      <c r="F14" t="s">
        <v>343</v>
      </c>
    </row>
    <row r="15" spans="2:6" x14ac:dyDescent="0.25">
      <c r="B15" s="6"/>
      <c r="C15" s="1" t="s">
        <v>299</v>
      </c>
      <c r="D15" s="3"/>
      <c r="E15" s="33">
        <v>1200000</v>
      </c>
    </row>
    <row r="16" spans="2:6" x14ac:dyDescent="0.25">
      <c r="B16" s="6"/>
      <c r="C16" s="1" t="s">
        <v>13</v>
      </c>
      <c r="D16" s="3">
        <f>D14+D15</f>
        <v>1300000</v>
      </c>
      <c r="E16" s="33">
        <f>E14+E15</f>
        <v>2500000</v>
      </c>
    </row>
    <row r="17" spans="2:5" x14ac:dyDescent="0.25">
      <c r="B17" s="6"/>
      <c r="C17" s="1"/>
      <c r="D17" s="3"/>
      <c r="E17" s="33"/>
    </row>
    <row r="18" spans="2:5" x14ac:dyDescent="0.25">
      <c r="B18" s="183" t="s">
        <v>301</v>
      </c>
      <c r="C18" s="1" t="s">
        <v>302</v>
      </c>
      <c r="D18" s="3">
        <v>3450000</v>
      </c>
      <c r="E18" s="33">
        <v>3750000</v>
      </c>
    </row>
    <row r="19" spans="2:5" x14ac:dyDescent="0.25">
      <c r="B19" s="6"/>
      <c r="C19" s="1" t="s">
        <v>299</v>
      </c>
      <c r="D19" s="3"/>
      <c r="E19" s="33">
        <v>6394000</v>
      </c>
    </row>
    <row r="20" spans="2:5" x14ac:dyDescent="0.25">
      <c r="B20" s="6"/>
      <c r="C20" s="1" t="s">
        <v>13</v>
      </c>
      <c r="D20" s="3">
        <f>D18+D19</f>
        <v>3450000</v>
      </c>
      <c r="E20" s="33">
        <f>E18+E19</f>
        <v>10144000</v>
      </c>
    </row>
    <row r="21" spans="2:5" x14ac:dyDescent="0.25">
      <c r="B21" s="6"/>
      <c r="C21" s="1"/>
      <c r="D21" s="1"/>
      <c r="E21" s="184"/>
    </row>
    <row r="22" spans="2:5" x14ac:dyDescent="0.25">
      <c r="B22" s="183" t="s">
        <v>303</v>
      </c>
      <c r="C22" s="182"/>
      <c r="D22" s="182"/>
      <c r="E22" s="185">
        <f>E14+E18</f>
        <v>5050000</v>
      </c>
    </row>
    <row r="23" spans="2:5" x14ac:dyDescent="0.25">
      <c r="B23" s="183" t="s">
        <v>304</v>
      </c>
      <c r="C23" s="182"/>
      <c r="D23" s="182"/>
      <c r="E23" s="185">
        <f>E15+E19</f>
        <v>7594000</v>
      </c>
    </row>
    <row r="24" spans="2:5" ht="15.75" thickBot="1" x14ac:dyDescent="0.3">
      <c r="B24" s="115" t="s">
        <v>13</v>
      </c>
      <c r="C24" s="186"/>
      <c r="D24" s="186"/>
      <c r="E24" s="187">
        <f>E22+E23</f>
        <v>12644000</v>
      </c>
    </row>
  </sheetData>
  <hyperlinks>
    <hyperlink ref="F6" r:id="rId1" display="https://www.poradnaproobce.cz/finance/kalkulacka-rud-2026/stredokluky-539708" xr:uid="{AF4EB894-F37A-421B-976E-02501AEAA6F3}"/>
    <hyperlink ref="F8" r:id="rId2" display="https://statis.msmt.gov.cz/nepedagogove/" xr:uid="{4AB3D7A8-3DCA-4B4A-B18F-C54550958F75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a8b9e8-0533-4354-95f5-a9f81803f0e1">
      <Terms xmlns="http://schemas.microsoft.com/office/infopath/2007/PartnerControls"/>
    </lcf76f155ced4ddcb4097134ff3c332f>
    <TaxCatchAll xmlns="5df14910-f9c9-4e9d-8dff-1054d53a95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F365D4A020E54B827AB826EB362101" ma:contentTypeVersion="13" ma:contentTypeDescription="Vytvoří nový dokument" ma:contentTypeScope="" ma:versionID="cdb737e80cabbebdb0c4d7ec8d10c020">
  <xsd:schema xmlns:xsd="http://www.w3.org/2001/XMLSchema" xmlns:xs="http://www.w3.org/2001/XMLSchema" xmlns:p="http://schemas.microsoft.com/office/2006/metadata/properties" xmlns:ns2="67a8b9e8-0533-4354-95f5-a9f81803f0e1" xmlns:ns3="5df14910-f9c9-4e9d-8dff-1054d53a958d" targetNamespace="http://schemas.microsoft.com/office/2006/metadata/properties" ma:root="true" ma:fieldsID="2964de9e0c7ce0228643b65f1101d637" ns2:_="" ns3:_="">
    <xsd:import namespace="67a8b9e8-0533-4354-95f5-a9f81803f0e1"/>
    <xsd:import namespace="5df14910-f9c9-4e9d-8dff-1054d53a95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8b9e8-0533-4354-95f5-a9f81803f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ac4c69e-5a71-4431-80c5-4ed940e33b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14910-f9c9-4e9d-8dff-1054d53a95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0dcc40-6cc6-49aa-b0c9-d146088393cd}" ma:internalName="TaxCatchAll" ma:showField="CatchAllData" ma:web="5df14910-f9c9-4e9d-8dff-1054d53a95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105B91-D931-4BD5-8C64-661EB82FFD84}">
  <ds:schemaRefs>
    <ds:schemaRef ds:uri="http://schemas.microsoft.com/office/2006/metadata/properties"/>
    <ds:schemaRef ds:uri="http://schemas.microsoft.com/office/infopath/2007/PartnerControls"/>
    <ds:schemaRef ds:uri="67a8b9e8-0533-4354-95f5-a9f81803f0e1"/>
    <ds:schemaRef ds:uri="5df14910-f9c9-4e9d-8dff-1054d53a958d"/>
  </ds:schemaRefs>
</ds:datastoreItem>
</file>

<file path=customXml/itemProps2.xml><?xml version="1.0" encoding="utf-8"?>
<ds:datastoreItem xmlns:ds="http://schemas.openxmlformats.org/officeDocument/2006/customXml" ds:itemID="{B2BA8395-37B4-4A55-A9F7-6950367E9A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8b9e8-0533-4354-95f5-a9f81803f0e1"/>
    <ds:schemaRef ds:uri="5df14910-f9c9-4e9d-8dff-1054d53a95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3AA055-A23A-4806-977C-321A1E33DD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Zveřejněný návrh rozpočtu</vt:lpstr>
      <vt:lpstr>Návrh rozpočtu s dotacemi</vt:lpstr>
      <vt:lpstr>Konec roku 2025</vt:lpstr>
      <vt:lpstr>Projekty</vt:lpstr>
      <vt:lpstr>Dotace 2025</vt:lpstr>
      <vt:lpstr>Investice 2025</vt:lpstr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2023-11-27T21:13:16Z</dcterms:created>
  <dcterms:modified xsi:type="dcterms:W3CDTF">2025-12-12T20:47:13Z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0x0101000BF365D4A020E54B827AB826EB362101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_activity">
    <vt:lpwstr>{"FileActivityType":"6","FileActivityTimeStamp":"2025-11-27T21:43:21.843Z","FileActivityUsersOnPage":[{"DisplayName":"Jaroslav Paznocht - Obec Středokluky","Id":"jpaznocht@stredokluky.cz"}],"FileActivityNavigationId":null}</vt:lpwstr>
  </property>
  <property fmtid="{D5CDD505-2E9C-101B-9397-08002B2CF9AE}" pid="7" name="TriggerFlowInfo">
    <vt:lpwstr/>
  </property>
</Properties>
</file>