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codeName="ThisWorkbook" defaultThemeVersion="166925"/>
  <xr:revisionPtr revIDLastSave="1422" documentId="8_{81B4FD9B-7E4D-4333-92A0-A0F8CE5714D4}" xr6:coauthVersionLast="47" xr6:coauthVersionMax="47" xr10:uidLastSave="{7A1F8BC3-AE03-43AB-9BBD-EFF240848E5F}"/>
  <bookViews>
    <workbookView xWindow="28680" yWindow="-120" windowWidth="29040" windowHeight="15720" xr2:uid="{00000000-000D-0000-FFFF-FFFF00000000}"/>
  </bookViews>
  <sheets>
    <sheet name="Návrh rozpočtu obce na rok 2025" sheetId="1" r:id="rId1"/>
    <sheet name="Stav financí na konci roku 2024" sheetId="3" r:id="rId2"/>
    <sheet name="Investice 2025" sheetId="4" r:id="rId3"/>
    <sheet name="Dotace 2025" sheetId="5" r:id="rId4"/>
  </sheets>
  <definedNames>
    <definedName name="JR_PAGE_ANCHOR_0_1">'Návrh rozpočtu obce na rok 2025'!#REF!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2" i="4" l="1"/>
  <c r="D38" i="4"/>
  <c r="E110" i="4"/>
  <c r="F26" i="5"/>
  <c r="E26" i="5"/>
  <c r="E72" i="1"/>
  <c r="E74" i="1" s="1"/>
  <c r="E27" i="1"/>
  <c r="F41" i="1"/>
  <c r="F60" i="1"/>
  <c r="F58" i="1"/>
  <c r="F64" i="1"/>
  <c r="D74" i="1"/>
  <c r="D75" i="1"/>
  <c r="F75" i="1"/>
  <c r="D76" i="1"/>
  <c r="C76" i="1"/>
  <c r="C75" i="1"/>
  <c r="C74" i="1"/>
  <c r="F7" i="1"/>
  <c r="D75" i="4"/>
  <c r="D78" i="4" s="1"/>
  <c r="D100" i="4"/>
  <c r="D113" i="4"/>
  <c r="E111" i="4"/>
  <c r="D35" i="4"/>
  <c r="E109" i="4"/>
  <c r="D83" i="4"/>
  <c r="D72" i="4"/>
  <c r="D46" i="4"/>
  <c r="D17" i="4"/>
  <c r="D26" i="4"/>
  <c r="D10" i="4"/>
  <c r="D5" i="4"/>
  <c r="D63" i="4"/>
  <c r="D62" i="4"/>
  <c r="D61" i="4"/>
  <c r="D60" i="4"/>
  <c r="D59" i="4"/>
  <c r="D65" i="4"/>
  <c r="D64" i="4"/>
  <c r="F16" i="1"/>
  <c r="I13" i="3"/>
  <c r="D72" i="1"/>
  <c r="E75" i="1"/>
  <c r="D27" i="1"/>
  <c r="D103" i="4"/>
  <c r="D106" i="4" s="1"/>
  <c r="E76" i="1" l="1"/>
  <c r="F72" i="1"/>
  <c r="F74" i="1" s="1"/>
  <c r="F76" i="1" s="1"/>
  <c r="F27" i="1"/>
  <c r="F21" i="5"/>
  <c r="E21" i="5"/>
  <c r="F14" i="5"/>
  <c r="E14" i="5"/>
  <c r="F7" i="5"/>
  <c r="C17" i="3" s="1"/>
  <c r="C9" i="3"/>
  <c r="C14" i="3"/>
  <c r="C10" i="3"/>
  <c r="I14" i="3"/>
  <c r="L15" i="3"/>
  <c r="K15" i="3"/>
  <c r="J15" i="3"/>
  <c r="C12" i="3" l="1"/>
  <c r="I15" i="3"/>
  <c r="C68" i="1" l="1"/>
  <c r="C38" i="1"/>
  <c r="D86" i="4" l="1"/>
  <c r="C59" i="1"/>
  <c r="C58" i="1"/>
  <c r="C57" i="1"/>
  <c r="D95" i="4" l="1"/>
  <c r="D110" i="4"/>
  <c r="C6" i="3"/>
  <c r="C16" i="3" l="1"/>
  <c r="C18" i="3" s="1"/>
  <c r="D66" i="4"/>
  <c r="C52" i="1"/>
  <c r="C41" i="1"/>
  <c r="C37" i="1"/>
  <c r="C33" i="1"/>
  <c r="C64" i="1"/>
  <c r="C9" i="1"/>
  <c r="C8" i="1"/>
  <c r="C27" i="1" s="1"/>
  <c r="D68" i="4" l="1"/>
  <c r="D109" i="4" s="1"/>
  <c r="D111" i="4"/>
  <c r="D114" i="4" s="1"/>
  <c r="C7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tc={E4FB3508-0326-422D-A91C-3B5000158338}</author>
    <author>tc={142612A6-AFF4-448D-AEC5-E37841F259DF}</author>
    <author>tc={53E00F7D-60F3-4A03-A5F6-B3A3DFC9F614}</author>
    <author>tc={0B43FCC0-8601-4A3B-882D-CA3D15A62D93}</author>
    <author>tc={FC59A95A-2647-4F71-ABC4-A7DC27238682}</author>
    <author>tc={FC6E886C-4BE4-4381-8CE9-26C343E28821}</author>
    <author>tc={B92A2020-0E11-4F23-8D8A-A126D86EF166}</author>
    <author>tc={7E58E3CF-A62A-453B-853E-D23F129A8F44}</author>
    <author>tc={D0815442-AC7B-45AE-A3BA-A2CA3DB43FE0}</author>
    <author>tc={1869CDBB-0B9D-433C-865E-4026D330DF65}</author>
    <author>tc={E668B0DB-FA4E-4024-9DC6-642FC5744254}</author>
    <author>tc={2EBD79DB-2163-4947-B051-37661FE33F63}</author>
    <author>tc={78A7B845-072B-4DBC-89A5-12A62212E3D6}</author>
    <author>tc={7A283CC3-F263-4175-9FAB-C268439C0094}</author>
    <author>tc={6D380804-A4D1-464B-AB46-5D5FCC19030F}</author>
    <author>tc={971A941F-4D1C-47EA-8457-F3CE1C4FD24B}</author>
    <author>tc={2C6AB9A1-09E7-4236-AB77-5FB8E2E73B6E}</author>
    <author>tc={63DB77E7-B098-47E6-8F22-951CE2236812}</author>
    <author>tc={5450BDE5-DA71-4FB9-B767-BD8AC3108AAD}</author>
    <author>tc={5618D55F-BE40-4A5F-8AE6-61152913E26F}</author>
    <author>tc={1D84D153-CE72-4B81-B372-AC4F9E539F72}</author>
    <author>tc={974C8E0F-43FA-4ACD-A03B-ADF3BDBB3B7B}</author>
    <author>tc={BFE4B858-E47D-4729-BFDC-4C6BEF518219}</author>
    <author>tc={4AC15942-9229-46F3-A07F-04566FC9D757}</author>
    <author>tc={4F037D5A-6FC9-4551-99EE-F1718566C3E2}</author>
    <author>tc={DDB27033-3ECB-4623-9B06-88CBAE24345D}</author>
    <author>tc={87360C58-D41B-4DCB-9D92-DB4F69C22F9F}</author>
    <author>tc={554A38CD-3933-4C83-A4AA-D05D6963A702}</author>
    <author>tc={0A0C463B-AED3-4462-84AC-17602B0A47AB}</author>
    <author>tc={87ED6EBD-FDDE-4D3F-BA85-DF13940E0CF5}</author>
    <author>tc={238B4BA0-6D47-4876-91D2-2E0CC87716E1}</author>
    <author>tc={E5F511DB-48C5-4CE5-915D-E412F9EF41C1}</author>
    <author>tc={F5BC019A-0128-4249-BB05-4288147DDFC2}</author>
    <author>tc={952B3DBC-AD6A-4081-AAA5-C84191DB75DC}</author>
    <author>tc={4D3B955B-BD37-43D0-A488-18D08FCCF918}</author>
    <author>tc={FE164397-F7BB-4019-BB44-6B5662A100FA}</author>
    <author>tc={1ED6536D-D2BA-4E7B-88ED-1052817DDEEB}</author>
    <author>tc={A940F017-D40E-4B24-AB26-A2C29CDDAB05}</author>
    <author>tc={F82C400E-5BF8-493B-8E69-0FB586517D1B}</author>
    <author>tc={89C9EFAB-837A-410E-9F1F-413E641AC499}</author>
    <author>tc={348FC620-4904-4537-A035-E710DC236091}</author>
    <author>tc={FD0B20A3-B02E-4AB3-9877-EBD05A0BD885}</author>
    <author>tc={C0554A74-860C-4609-AA08-44428816C6E9}</author>
    <author>tc={1AD0C873-3D2A-4137-8B58-2381CB169538}</author>
    <author>tc={F880D9AE-0064-4084-97A5-2A20E723FE21}</author>
    <author>tc={1CFB28D6-7576-4EDC-97D2-B0443553C264}</author>
    <author>tc={73D4B7D6-17C5-46E0-A70F-F8C531C7664B}</author>
    <author>tc={6691F36C-D327-4AC7-AD15-D30D9719BD8D}</author>
    <author>tc={8F8E1EA5-7DBD-4F97-8267-BCAED716393E}</author>
    <author>tc={8D6FC03B-4C4F-4C33-A515-57B9FC7ABACD}</author>
    <author>tc={17EC6DEB-44B1-4700-88B2-71FEC4727E1F}</author>
    <author>tc={05B3CCA4-5C3C-433B-81AD-761B4447A434}</author>
    <author>tc={B53064D7-69BF-4AEA-9AA8-D22327D8B2DB}</author>
    <author>tc={E27D01E7-23D9-4F02-8D9E-2EB8152096C5}</author>
    <author>tc={8E8B9B60-7299-4DFE-BF6E-9CF6AA078D55}</author>
    <author>tc={C3B88C3B-03B6-43CF-A7E5-96F4226CAD9B}</author>
    <author>tc={A7CF0E1A-8898-4F60-8C6C-BC90B1444ED9}</author>
    <author>tc={1CA0B518-B43B-4776-B4CB-34C87D812252}</author>
    <author>tc={11BD7A9B-C038-44D9-99DA-C970A511129E}</author>
    <author>tc={45924EA0-7864-4739-893E-581677740AFC}</author>
    <author>tc={3A5AF43B-E5D2-4D63-86DB-6CD9E9EBCFD7}</author>
    <author>tc={D2160821-1E26-4444-B2F2-A26C02F6BE2B}</author>
    <author>tc={72CCD739-B6D5-4CFC-8C28-C5C5CDBB2955}</author>
    <author>tc={0F3F6B79-719C-4001-97E3-5C6FF987B757}</author>
    <author>tc={6553C2C4-6421-4A75-BE17-1CD0BA6DFE4D}</author>
    <author>tc={8342A129-618A-4A0B-A2B2-0441AA6F0070}</author>
    <author>tc={1E8325A0-DCE8-4C86-A59D-E30EB4F49EA2}</author>
    <author>tc={C4375733-7D6A-4170-98B3-59BE1DB05AC7}</author>
    <author>tc={0AF56209-06D2-438B-BCF9-A3036D7AFA4D}</author>
    <author>tc={EABF331F-AD73-412E-BF8B-C2813689838D}</author>
    <author>tc={C90F87AF-9286-4CAF-BDB2-4885822019D7}</author>
  </authors>
  <commentList>
    <comment ref="C7" authorId="0" shapeId="0" xr:uid="{E4FB3508-0326-422D-A91C-3B5000158338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Daňové příjmy, dotace apod. </t>
      </text>
    </comment>
    <comment ref="C8" authorId="1" shapeId="0" xr:uid="{142612A6-AFF4-448D-AEC5-E37841F259DF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Nájem 1.VHS - dle kalkulace. </t>
      </text>
    </comment>
    <comment ref="C9" authorId="2" shapeId="0" xr:uid="{53E00F7D-60F3-4A03-A5F6-B3A3DFC9F61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Nájem 1.VHS - dle kalkulace.</t>
      </text>
    </comment>
    <comment ref="C10" authorId="3" shapeId="0" xr:uid="{0B43FCC0-8601-4A3B-882D-CA3D15A62D9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Nájemné rybník Pod Panskou</t>
      </text>
    </comment>
    <comment ref="E11" authorId="4" shapeId="0" xr:uid="{FC59A95A-2647-4F71-ABC4-A7DC27238682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Pojistné plnění. </t>
      </text>
    </comment>
    <comment ref="E12" authorId="5" shapeId="0" xr:uid="{FC6E886C-4BE4-4381-8CE9-26C343E2882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Pojistná plnění - zaplavená třída. Patří tam taky vratka dotací - obědy do škol.</t>
      </text>
    </comment>
    <comment ref="C13" authorId="6" shapeId="0" xr:uid="{B92A2020-0E11-4F23-8D8A-A126D86EF16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Virtuální univerzita 3. věku.</t>
      </text>
    </comment>
    <comment ref="C14" authorId="7" shapeId="0" xr:uid="{7E58E3CF-A62A-453B-853E-D23F129A8F4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Pronájem Sportovní areál "Koupaliště"</t>
      </text>
    </comment>
    <comment ref="C15" authorId="8" shapeId="0" xr:uid="{D0815442-AC7B-45AE-A3BA-A2CA3DB43FE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Nájmy č.p. 68</t>
      </text>
    </comment>
    <comment ref="E16" authorId="9" shapeId="0" xr:uid="{1869CDBB-0B9D-433C-865E-4026D330DF6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Školní kuchyně - nájem</t>
      </text>
    </comment>
    <comment ref="F16" authorId="10" shapeId="0" xr:uid="{E668B0DB-FA4E-4024-9DC6-642FC574425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Pronájem školní kuchyně.</t>
      </text>
    </comment>
    <comment ref="E17" authorId="11" shapeId="0" xr:uid="{2EBD79DB-2163-4947-B051-37661FE33F63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Pojistné plnění. </t>
      </text>
    </comment>
    <comment ref="C18" authorId="12" shapeId="0" xr:uid="{78A7B845-072B-4DBC-89A5-12A62212E3D6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jsou věcná břemena. Nedokážeme predikovat. </t>
      </text>
    </comment>
    <comment ref="C19" authorId="13" shapeId="0" xr:uid="{7A283CC3-F263-4175-9FAB-C268439C0094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Prodej popelnic občanům. </t>
      </text>
    </comment>
    <comment ref="C20" authorId="14" shapeId="0" xr:uid="{6D380804-A4D1-464B-AB46-5D5FCC19030F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Příspěvek EkoKom. 
Snížen dle reálných hodnot. Pokud bude zavedeno zálohování plastových lahví, změní se.      </t>
      </text>
    </comment>
    <comment ref="C21" authorId="15" shapeId="0" xr:uid="{971A941F-4D1C-47EA-8457-F3CE1C4FD24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Příspěvek na pronájem popelnic na bioodpad. </t>
      </text>
    </comment>
    <comment ref="E22" authorId="16" shapeId="0" xr:uid="{2C6AB9A1-09E7-4236-AB77-5FB8E2E73B6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Pokuta ZPF</t>
      </text>
    </comment>
    <comment ref="E23" authorId="17" shapeId="0" xr:uid="{63DB77E7-B098-47E6-8F22-951CE223681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Pojistné plnění</t>
      </text>
    </comment>
    <comment ref="C24" authorId="18" shapeId="0" xr:uid="{5450BDE5-DA71-4FB9-B767-BD8AC3108AAD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Nájemné Cetin, Česká pošta, prodej knih apod. </t>
      </text>
    </comment>
    <comment ref="E24" authorId="19" shapeId="0" xr:uid="{5618D55F-BE40-4A5F-8AE6-61152913E26F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Přefakturace energií. </t>
      </text>
    </comment>
    <comment ref="C25" authorId="20" shapeId="0" xr:uid="{1D84D153-CE72-4B81-B372-AC4F9E539F7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Humanitární činnost nepředpokládáme.</t>
      </text>
    </comment>
    <comment ref="C32" authorId="21" shapeId="0" xr:uid="{974C8E0F-43FA-4ACD-A03B-ADF3BDBB3B7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Kastrace koček.</t>
      </text>
    </comment>
    <comment ref="C33" authorId="22" shapeId="0" xr:uid="{BFE4B858-E47D-4729-BFDC-4C6BEF51821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Zde je částka odhadovaná na opravy silnic + 353 320 Kč na dopravní vizi.</t>
      </text>
    </comment>
    <comment ref="F33" authorId="23" shapeId="0" xr:uid="{4AC15942-9229-46F3-A07F-04566FC9D75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Opravy</t>
      </text>
    </comment>
    <comment ref="C34" authorId="24" shapeId="0" xr:uid="{4F037D5A-6FC9-4551-99EE-F1718566C3E2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jsou chodníky. Částka bude značně nepřesná, bude záležet jakým způsobem dokončíme chodník na 4křižovatce. </t>
      </text>
    </comment>
    <comment ref="F34" authorId="25" shapeId="0" xr:uid="{DDB27033-3ECB-4623-9B06-88CBAE24345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4křižovatka</t>
      </text>
    </comment>
    <comment ref="C35" authorId="26" shapeId="0" xr:uid="{87360C58-D41B-4DCB-9D92-DB4F69C22F9F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jsou autobusové zastávky, nejspíše budeme dělat nějaké akce kolem zastávek na Černovičkách. </t>
      </text>
    </comment>
    <comment ref="C36" authorId="27" shapeId="0" xr:uid="{554A38CD-3933-4C83-A4AA-D05D6963A702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Platba za MHD, částka odpovídá realitě. </t>
      </text>
    </comment>
    <comment ref="F36" authorId="28" shapeId="0" xr:uid="{0A0C463B-AED3-4462-84AC-17602B0A47A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122265,- Kč dle záloh</t>
      </text>
    </comment>
    <comment ref="C37" authorId="29" shapeId="0" xr:uid="{87ED6EBD-FDDE-4D3F-BA85-DF13940E0CF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Výdaje na předávací místo a měřící body + vodné obec.</t>
      </text>
    </comment>
    <comment ref="F37" authorId="30" shapeId="0" xr:uid="{238B4BA0-6D47-4876-91D2-2E0CC87716E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Vodoměrná šachta Nad Běloky</t>
      </text>
    </comment>
    <comment ref="C38" authorId="31" shapeId="0" xr:uid="{E5F511DB-48C5-4CE5-915D-E412F9EF41C1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Kanálové vpusti, čistírna odpadních vod, stočné obce. 
</t>
      </text>
    </comment>
    <comment ref="F38" authorId="32" shapeId="0" xr:uid="{F5BC019A-0128-4249-BB05-4288147DDFC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Investice</t>
      </text>
    </comment>
    <comment ref="C39" authorId="33" shapeId="0" xr:uid="{952B3DBC-AD6A-4081-AAA5-C84191DB75D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Rybníky - v tuto chvíli tu nejsou žádné výdaje, ale neznamená to, že by obec nečekaly.</t>
      </text>
    </comment>
    <comment ref="F39" authorId="34" shapeId="0" xr:uid="{4D3B955B-BD37-43D0-A488-18D08FCCF91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Česla rybník</t>
      </text>
    </comment>
    <comment ref="C40" authorId="35" shapeId="0" xr:uid="{FE164397-F7BB-4019-BB44-6B5662A100FA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1 300 000,- na provoz dle návrhu rozpočtu, 100 tisíc Kč na běžnou údržbu budov. </t>
      </text>
    </comment>
    <comment ref="F40" authorId="36" shapeId="0" xr:uid="{1ED6536D-D2BA-4E7B-88ED-1052817DDEE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Požadavek MŠ 1300 tis. Kč.</t>
      </text>
    </comment>
    <comment ref="C41" authorId="37" shapeId="0" xr:uid="{A940F017-D40E-4B24-AB26-A2C29CDDAB0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1) Příspěvek ZŠ - 4 500 000,-
2) Dokončení rozestavěných tříd - 770 000,- 
3) 2 další učebny (105 a 204) - 1 200 000,- 
4) Strategie ZŠ - 414 486,-
5) Stříška šatny
Chybí například: 
1) Dveře družina. 
2) Úpravy kuchyně.
3) Dotace IROP - 2 933 180,- (2021), podíl obce 15 % (43 977,- Kč)
4) Odvlhčení chodby č.p. 187
5) Nábytek do třídy z dotace - 200 tisíc Kč.</t>
      </text>
    </comment>
    <comment ref="F41" authorId="38" shapeId="0" xr:uid="{F82C400E-5BF8-493B-8E69-0FB586517D1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Investice + požadavek ZŠ do rozpočtu
</t>
      </text>
    </comment>
    <comment ref="C42" authorId="39" shapeId="0" xr:uid="{89C9EFAB-837A-410E-9F1F-413E641AC499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Virtuální univerzita 3. věku.
</t>
      </text>
    </comment>
    <comment ref="C43" authorId="40" shapeId="0" xr:uid="{348FC620-4904-4537-A035-E710DC236091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spolkům a akce obce. </t>
      </text>
    </comment>
    <comment ref="C45" authorId="41" shapeId="0" xr:uid="{FD0B20A3-B02E-4AB3-9877-EBD05A0BD88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Vydávání Středoklucké Střely.</t>
      </text>
    </comment>
    <comment ref="C46" authorId="42" shapeId="0" xr:uid="{C0554A74-860C-4609-AA08-44428816C6E9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spolkům a akce obce. </t>
      </text>
    </comment>
    <comment ref="C47" authorId="43" shapeId="0" xr:uid="{1AD0C873-3D2A-4137-8B58-2381CB16953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Fotbalové hřiště.</t>
      </text>
    </comment>
    <comment ref="C48" authorId="44" shapeId="0" xr:uid="{F880D9AE-0064-4084-97A5-2A20E723FE21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spolkům a akce obce. </t>
      </text>
    </comment>
    <comment ref="C49" authorId="45" shapeId="0" xr:uid="{1CFB28D6-7576-4EDC-97D2-B0443553C264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spolkům a akce obce. </t>
      </text>
    </comment>
    <comment ref="C50" authorId="46" shapeId="0" xr:uid="{73D4B7D6-17C5-46E0-A70F-F8C531C7664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spolkům a akce obce. </t>
      </text>
    </comment>
    <comment ref="C51" authorId="47" shapeId="0" xr:uid="{6691F36C-D327-4AC7-AD15-D30D9719BD8D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Pronájmy z bytového domu. Jsou zde také platby za energie. </t>
      </text>
    </comment>
    <comment ref="C52" authorId="48" shapeId="0" xr:uid="{8F8E1EA5-7DBD-4F97-8267-BCAED716393E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350 tisíc Kč na elektřinu
4 620 000 Kč na výstavbu veřejného osvěltení
</t>
      </text>
    </comment>
    <comment ref="F52" authorId="49" shapeId="0" xr:uid="{8D6FC03B-4C4F-4C33-A515-57B9FC7ABAC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3900 tis. Kč investice + projekce, 800 tisíc provoz a opravy</t>
      </text>
    </comment>
    <comment ref="C53" authorId="50" shapeId="0" xr:uid="{17EC6DEB-44B1-4700-88B2-71FEC4727E1F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územního plánu č. 1 - standardizace
</t>
      </text>
    </comment>
    <comment ref="F53" authorId="51" shapeId="0" xr:uid="{05B3CCA4-5C3C-433B-81AD-761B4447A43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ÚP č. 2</t>
      </text>
    </comment>
    <comment ref="C54" authorId="52" shapeId="0" xr:uid="{B53064D7-69BF-4AEA-9AA8-D22327D8B2D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ÚS Rekreace, Dopravní vize (možná na silnice), Strategie ZŠ. </t>
      </text>
    </comment>
    <comment ref="F54" authorId="53" shapeId="0" xr:uid="{E27D01E7-23D9-4F02-8D9E-2EB8152096C5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Územní studie </t>
      </text>
    </comment>
    <comment ref="C55" authorId="54" shapeId="0" xr:uid="{8E8B9B60-7299-4DFE-BF6E-9CF6AA078D5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Prodej popelnice.</t>
      </text>
    </comment>
    <comment ref="C56" authorId="55" shapeId="0" xr:uid="{C3B88C3B-03B6-43CF-A7E5-96F4226CAD9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Svoz různých druhů odpadů. 
</t>
      </text>
    </comment>
    <comment ref="C57" authorId="56" shapeId="0" xr:uid="{A7CF0E1A-8898-4F60-8C6C-BC90B1444ED9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Svoz komunálního odpadu vč. velkoobjemu. </t>
      </text>
    </comment>
    <comment ref="C58" authorId="57" shapeId="0" xr:uid="{1CA0B518-B43B-4776-B4CB-34C87D812252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Svoz tříděného odpadu. </t>
      </text>
    </comment>
    <comment ref="F58" authorId="58" shapeId="0" xr:uid="{11BD7A9B-C038-44D9-99DA-C970A511129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Odpadový systém - VZ, nastavení</t>
      </text>
    </comment>
    <comment ref="C59" authorId="59" shapeId="0" xr:uid="{45924EA0-7864-4739-893E-581677740AFC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Svoz bioodpadu.
</t>
      </text>
    </comment>
    <comment ref="C60" authorId="60" shapeId="0" xr:uid="{3A5AF43B-E5D2-4D63-86DB-6CD9E9EBCFD7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Pracovní četa - 4 lidi + peníze na údržbu zeleně. 
</t>
      </text>
    </comment>
    <comment ref="F60" authorId="61" shapeId="0" xr:uid="{D2160821-1E26-4444-B2F2-A26C02F6BE2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Mírné navýšení + 300 tisíc Kč na Tereziánskou alej
+ Centra obce ABC, Rekreace - mobiliář, údržba okolí silnice na Černovičky</t>
      </text>
    </comment>
    <comment ref="C62" authorId="62" shapeId="0" xr:uid="{72CCD739-B6D5-4CFC-8C28-C5C5CDBB2955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Žádala DPS Buštěhrad o dar. Dřív se připlácelo, aby přijeli. Dnes neplatíme nic. </t>
      </text>
    </comment>
    <comment ref="C63" authorId="63" shapeId="0" xr:uid="{0F3F6B79-719C-4001-97E3-5C6FF987B757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musí být v rozpočtu ze zákona. </t>
      </text>
    </comment>
    <comment ref="C64" authorId="64" shapeId="0" xr:uid="{6553C2C4-6421-4A75-BE17-1CD0BA6DFE4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Hasičský vozík 1 055 000 Kč + 200 tisíc Kč na provoz JSDH</t>
      </text>
    </comment>
    <comment ref="F64" authorId="65" shapeId="0" xr:uid="{8342A129-618A-4A0B-A2B2-0441AA6F007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250 tisíc cca provoz Obecního servisu, pohonné hmoty a základní materiál + 450 tisíc vč. daru letiště + 800 tisíc vrata viz investice</t>
      </text>
    </comment>
    <comment ref="C65" authorId="66" shapeId="0" xr:uid="{1E8325A0-DCE8-4C86-A59D-E30EB4F49EA2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Plat starosty (udávaný nařízením vlády), plat místostarostů a odměny zastupitelům. 
</t>
      </text>
    </comment>
    <comment ref="F65" authorId="67" shapeId="0" xr:uid="{C4375733-7D6A-4170-98B3-59BE1DB05AC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Starosta + 2 místostarostové á 15 tisíc Kč +zastupitelé + daně</t>
      </text>
    </comment>
    <comment ref="C68" authorId="68" shapeId="0" xr:uid="{0AF56209-06D2-438B-BCF9-A3036D7AFA4D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Činnost úřadu včetně různých poradců, úklidu úřadu, energií na úřad, zaměstnanců úřadu vč. správce majetku. 
2,666 milionu na nákup střední školy. </t>
      </text>
    </comment>
    <comment ref="F68" authorId="69" shapeId="0" xr:uid="{EABF331F-AD73-412E-BF8B-C2813689838D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Provoz obecního úřadu včetně externích služeb, energií a také 2,5 mil. Kč za Areál KŠ
</t>
      </text>
    </comment>
    <comment ref="C70" authorId="70" shapeId="0" xr:uid="{C90F87AF-9286-4CAF-BDB2-4885822019D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Pojištění obce vč. ZŠ a MŠ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tc={280F4F69-7E9D-4D80-9D9A-1F069DA391C3}</author>
  </authors>
  <commentList>
    <comment ref="C14" authorId="0" shapeId="0" xr:uid="{280F4F69-7E9D-4D80-9D9A-1F069DA391C3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Na základě září 2024. </t>
      </text>
    </comment>
  </commentList>
</comments>
</file>

<file path=xl/sharedStrings.xml><?xml version="1.0" encoding="utf-8"?>
<sst xmlns="http://schemas.openxmlformats.org/spreadsheetml/2006/main" count="349" uniqueCount="261">
  <si>
    <t>Třídění:</t>
  </si>
  <si>
    <t>Název</t>
  </si>
  <si>
    <t>Bez paragrafu</t>
  </si>
  <si>
    <t>2219</t>
  </si>
  <si>
    <t>Ostatní záležitosti pozemních komunikací</t>
  </si>
  <si>
    <t>2310</t>
  </si>
  <si>
    <t>Pitná voda</t>
  </si>
  <si>
    <t>2321</t>
  </si>
  <si>
    <t>Odvádění a čistění odpadních vod a nakládání s kaly</t>
  </si>
  <si>
    <t>2341</t>
  </si>
  <si>
    <t>Vodní díla v zemědělské krajině</t>
  </si>
  <si>
    <t>3299</t>
  </si>
  <si>
    <t>Ostatní záležitosti vzdělávání</t>
  </si>
  <si>
    <t>3429</t>
  </si>
  <si>
    <t>Ostatní zájmová činnost a rekreace</t>
  </si>
  <si>
    <t>3612</t>
  </si>
  <si>
    <t>Bytové hospodářství</t>
  </si>
  <si>
    <t>3639</t>
  </si>
  <si>
    <t>Komunální služby a územní rozvoj jinde nezařazené</t>
  </si>
  <si>
    <t>3722</t>
  </si>
  <si>
    <t>Sběr a svoz komunálních odpadů</t>
  </si>
  <si>
    <t>3726</t>
  </si>
  <si>
    <t>Využívání a zneškodňování ostatních odpadů</t>
  </si>
  <si>
    <t>3729</t>
  </si>
  <si>
    <t>Ostatní nakládání s odpady</t>
  </si>
  <si>
    <t>3745</t>
  </si>
  <si>
    <t>Péče o vzhled obcí a veřejnou zeleň</t>
  </si>
  <si>
    <t>6171</t>
  </si>
  <si>
    <t>Činnost místní správy</t>
  </si>
  <si>
    <t>6221</t>
  </si>
  <si>
    <t>Humanitární zahraniční pomoc přímá</t>
  </si>
  <si>
    <t>6409</t>
  </si>
  <si>
    <t>Ostatní činnosti jinde nezařazené</t>
  </si>
  <si>
    <t>1014</t>
  </si>
  <si>
    <t>Ozdravování hospodářských zvířat, polních a speciálních plodin a zvláštní veterinární péče</t>
  </si>
  <si>
    <t>2212</t>
  </si>
  <si>
    <t>Silnice</t>
  </si>
  <si>
    <t>2221</t>
  </si>
  <si>
    <t>Provoz veřejné silniční dopravy</t>
  </si>
  <si>
    <t>2292</t>
  </si>
  <si>
    <t>Dopravní obslužnost veřejnými službami - linková</t>
  </si>
  <si>
    <t>3111</t>
  </si>
  <si>
    <t>Mateřské školy</t>
  </si>
  <si>
    <t>3113</t>
  </si>
  <si>
    <t>Základní školy</t>
  </si>
  <si>
    <t>3319</t>
  </si>
  <si>
    <t>Ostatní záležitosti kultury</t>
  </si>
  <si>
    <t>3326</t>
  </si>
  <si>
    <t>Pořízení, zachování a obnova hodnot místního kulturního, národního a historického povědomí</t>
  </si>
  <si>
    <t>3349</t>
  </si>
  <si>
    <t>Ostatní záležitosti sdělovacích prostředků</t>
  </si>
  <si>
    <t>3399</t>
  </si>
  <si>
    <t>Ostatní záležitosti kultury, církví a sdělovacích prostředků</t>
  </si>
  <si>
    <t>3412</t>
  </si>
  <si>
    <t>Sportovní zařízení ve vlastnictví obce</t>
  </si>
  <si>
    <t>3419</t>
  </si>
  <si>
    <t>Ostatní sportovní činnost</t>
  </si>
  <si>
    <t>3421</t>
  </si>
  <si>
    <t>Využití volného času dětí a mládeže</t>
  </si>
  <si>
    <t>3631</t>
  </si>
  <si>
    <t>Veřejné osvětlení</t>
  </si>
  <si>
    <t>3635</t>
  </si>
  <si>
    <t>Územní plánování</t>
  </si>
  <si>
    <t>3636</t>
  </si>
  <si>
    <t>Územní rozvoj</t>
  </si>
  <si>
    <t>3721</t>
  </si>
  <si>
    <t>Sběr a svoz nebezpečných odpadů</t>
  </si>
  <si>
    <t>3723</t>
  </si>
  <si>
    <t>Sběr a svoz ostatních odpadů jiných než nebezpečných a komunálních</t>
  </si>
  <si>
    <t>3749</t>
  </si>
  <si>
    <t>Ostatní činnosti k ochraně přírody a krajiny</t>
  </si>
  <si>
    <t>4351</t>
  </si>
  <si>
    <t>Osobní asistence, pečovatelská služba a podpora samostatného bydlení</t>
  </si>
  <si>
    <t>5213</t>
  </si>
  <si>
    <t>Krizová opatření</t>
  </si>
  <si>
    <t>5512</t>
  </si>
  <si>
    <t>Požární ochrana - dobrovolná část</t>
  </si>
  <si>
    <t>6112</t>
  </si>
  <si>
    <t>Zastupitelstva obcí</t>
  </si>
  <si>
    <t>6320</t>
  </si>
  <si>
    <t>Pojištění funkčně nespecifikované</t>
  </si>
  <si>
    <t>Paragraf</t>
  </si>
  <si>
    <t>Schodek rozpočtu</t>
  </si>
  <si>
    <t xml:space="preserve">Schodek rozpočtu bude vyrovnán přebytky minulých let. </t>
  </si>
  <si>
    <t>Hodnoty v Kč.</t>
  </si>
  <si>
    <t>Příjmy celkem:</t>
  </si>
  <si>
    <t>Výdaje celkem:</t>
  </si>
  <si>
    <t>Příjmy</t>
  </si>
  <si>
    <t>Výdaje</t>
  </si>
  <si>
    <t>Celkem</t>
  </si>
  <si>
    <t>Odhad</t>
  </si>
  <si>
    <t>Lidická chodníky - 4křižovatka</t>
  </si>
  <si>
    <t>Kanálové vpusti</t>
  </si>
  <si>
    <t>Strategie školy</t>
  </si>
  <si>
    <t>Veřejné osvětlení a sítě</t>
  </si>
  <si>
    <t>Projekce</t>
  </si>
  <si>
    <t>VO Černovičky</t>
  </si>
  <si>
    <t>5+svítidel</t>
  </si>
  <si>
    <t>VO Lidická - Školská</t>
  </si>
  <si>
    <t>11+svítidel</t>
  </si>
  <si>
    <t>VO Starý vrch</t>
  </si>
  <si>
    <t>7+</t>
  </si>
  <si>
    <t>VO Lidická - dole</t>
  </si>
  <si>
    <t>5+</t>
  </si>
  <si>
    <t>VO náves u Ouválky 1</t>
  </si>
  <si>
    <t>4+</t>
  </si>
  <si>
    <t>VO náves u Ouválky 2</t>
  </si>
  <si>
    <t>VO Parcely</t>
  </si>
  <si>
    <t>6+</t>
  </si>
  <si>
    <t>Nasvícení kostela</t>
  </si>
  <si>
    <t>Realizace</t>
  </si>
  <si>
    <t>Cena jako odhad</t>
  </si>
  <si>
    <t>Výkopy 1500 m</t>
  </si>
  <si>
    <t>Územní studie "Rekreace"</t>
  </si>
  <si>
    <t>Další možné výdaje:</t>
  </si>
  <si>
    <t>Radar Lidická (k zastávkám)</t>
  </si>
  <si>
    <t>Kamerový systém</t>
  </si>
  <si>
    <t>Rozhlas</t>
  </si>
  <si>
    <t>Prosinec</t>
  </si>
  <si>
    <t>Stav účtu KB</t>
  </si>
  <si>
    <t>Stav účtu ČNB</t>
  </si>
  <si>
    <t>Úvěr</t>
  </si>
  <si>
    <t>Účty celkem</t>
  </si>
  <si>
    <t>Příjmy na cestě</t>
  </si>
  <si>
    <t>Odhadované účty + příjmy</t>
  </si>
  <si>
    <t>RUD do konce roku (viz vedle)</t>
  </si>
  <si>
    <t>Pasport budov</t>
  </si>
  <si>
    <t>Odhadovaný stav účtu na konci roku</t>
  </si>
  <si>
    <t>SZIF - 2 digitální displaye, katedra, počítač</t>
  </si>
  <si>
    <t>MMR - územní plán</t>
  </si>
  <si>
    <t>k 1. 11. 2024</t>
  </si>
  <si>
    <t>Průměr</t>
  </si>
  <si>
    <t>odhad dle předchozích let</t>
  </si>
  <si>
    <t>Měsíc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</si>
  <si>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</si>
  <si>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</si>
  <si>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</si>
  <si>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</si>
  <si>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</si>
  <si>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</si>
  <si>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</si>
  <si>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</si>
  <si>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</si>
  <si>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</si>
  <si>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</si>
  <si>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Podíl měsíce na celém roce</t>
  </si>
  <si>
    <t>schváleno</t>
  </si>
  <si>
    <t>podána žádost</t>
  </si>
  <si>
    <t>v přípravě</t>
  </si>
  <si>
    <t xml:space="preserve">Letiště </t>
  </si>
  <si>
    <t>Odhadované běžné výdaje</t>
  </si>
  <si>
    <t>Cena akce</t>
  </si>
  <si>
    <t>Dotace</t>
  </si>
  <si>
    <t>stav</t>
  </si>
  <si>
    <t>IROP - odborné učebny ZŠ</t>
  </si>
  <si>
    <t>IROP - veřejná prostranství - COS</t>
  </si>
  <si>
    <t>IROP - JSDH</t>
  </si>
  <si>
    <t>žádost o platbu</t>
  </si>
  <si>
    <t>zaplaceno</t>
  </si>
  <si>
    <t>čeká se na schválení</t>
  </si>
  <si>
    <t>Podané žádosti</t>
  </si>
  <si>
    <t>realizováno</t>
  </si>
  <si>
    <t>Příprava žádostí</t>
  </si>
  <si>
    <t xml:space="preserve">MMR Komunikace na Ovčíně </t>
  </si>
  <si>
    <t>Dotace k proplacení</t>
  </si>
  <si>
    <t>částečně zaplaceno</t>
  </si>
  <si>
    <t>Modernizační fond - FV 68</t>
  </si>
  <si>
    <t>Modernizační fond - FV ČOV</t>
  </si>
  <si>
    <t>Generel vodovodu a kanalizace</t>
  </si>
  <si>
    <t>Výměna vodoměrů s prošlým cejchem</t>
  </si>
  <si>
    <t>2. změna ÚP</t>
  </si>
  <si>
    <t>Odborné učebny</t>
  </si>
  <si>
    <t>Akustické stropy, elektro, podlahy, úpravy 101,102,103,104</t>
  </si>
  <si>
    <t>Učebny 105</t>
  </si>
  <si>
    <t>Učebna 204</t>
  </si>
  <si>
    <t>Učebny 82</t>
  </si>
  <si>
    <t>Schválený rozpočet 2024</t>
  </si>
  <si>
    <t>Upravený rozpočet 2024</t>
  </si>
  <si>
    <t>Skutečnost 10/2024</t>
  </si>
  <si>
    <t>Návrh rozpočtu 2025</t>
  </si>
  <si>
    <t>Nebytové hospodářství</t>
  </si>
  <si>
    <t>Volby do zastupitelstev územních samosprávních celků</t>
  </si>
  <si>
    <t>Volby do Evropského parlamentu</t>
  </si>
  <si>
    <t>VO náves u Ouválky 2 + ulice ke Kinu</t>
  </si>
  <si>
    <t>spočítej, kolik bylo zaplaceno</t>
  </si>
  <si>
    <t>Centra obce Středokluky B+C - projekce</t>
  </si>
  <si>
    <t>Centra obce A - projekce</t>
  </si>
  <si>
    <t>Centra obce B - realizace</t>
  </si>
  <si>
    <t>Centra obce C - realizace</t>
  </si>
  <si>
    <t>Rekonstrukce bytu č. 13</t>
  </si>
  <si>
    <t>Rekonstrukce půdy</t>
  </si>
  <si>
    <t>Projekce rekonstrukce budovy (zateplení, energie, vnitřní prostory atd.)</t>
  </si>
  <si>
    <t>Odpadový systém</t>
  </si>
  <si>
    <t>Nákup nádob na tříděný odpad</t>
  </si>
  <si>
    <t>Školní kuchyně - projekt rekonstrukce</t>
  </si>
  <si>
    <t xml:space="preserve">Zabezpečení a vstupy </t>
  </si>
  <si>
    <t>Rekonstrukce komunikace Na Parcelách - projekt</t>
  </si>
  <si>
    <t>Studie veřejná prostranství Černovičky</t>
  </si>
  <si>
    <t>Studie Starý vrch</t>
  </si>
  <si>
    <t xml:space="preserve">Energetická koncepce obce </t>
  </si>
  <si>
    <t>Stoupačky č.p. 68</t>
  </si>
  <si>
    <t>Studie Černovičky - vodovod a kanalizace</t>
  </si>
  <si>
    <t>Obnova soch</t>
  </si>
  <si>
    <t>Hasičská zbrojnice</t>
  </si>
  <si>
    <t xml:space="preserve">Projekt zastávek u benzínky </t>
  </si>
  <si>
    <t>Komunikace Nové Středokluky</t>
  </si>
  <si>
    <t>Komunikace Pod Sedličkami</t>
  </si>
  <si>
    <t>Komunikace Na Ovčíně</t>
  </si>
  <si>
    <t xml:space="preserve">Bude požádáno o dotaci. </t>
  </si>
  <si>
    <t>Rekreace - mobiliář</t>
  </si>
  <si>
    <t>Vrata + předprostor č.p. 117 + Výstražná světla v křižovatce</t>
  </si>
  <si>
    <t>Fotovoltaika</t>
  </si>
  <si>
    <t>Fotovoltaika ČOV</t>
  </si>
  <si>
    <t>Poznámka</t>
  </si>
  <si>
    <t>Investice celkem</t>
  </si>
  <si>
    <t>Starý vrch 102 odvlhčení do ulice</t>
  </si>
  <si>
    <t>Investice</t>
  </si>
  <si>
    <t>Dotace+dary</t>
  </si>
  <si>
    <t>Možná dotace/financování</t>
  </si>
  <si>
    <t>Dary - schválené</t>
  </si>
  <si>
    <t>Dovybavení vozidla</t>
  </si>
  <si>
    <t>Údržba okolí silnice na Černovičky</t>
  </si>
  <si>
    <t>Obnova Tereziánské aleje</t>
  </si>
  <si>
    <t xml:space="preserve"> </t>
  </si>
  <si>
    <t>Projekce mostek - Rekreace + vpusť do rybníka</t>
  </si>
  <si>
    <t>Zřídit monitorink předávacího místa pro Středokluky a Běloky</t>
  </si>
  <si>
    <t>Úprava velikosti nádoby odsazené vody z kalojemu a zřízení 2. odtoku</t>
  </si>
  <si>
    <t>VO Lidická - dole - 4 křižovatka</t>
  </si>
  <si>
    <t>Výměna navrtávacího pasu domovní přípojky</t>
  </si>
  <si>
    <t>Rekonstrukce ČSOV Lidická vč. projektu</t>
  </si>
  <si>
    <t>Územní studie Průmysl</t>
  </si>
  <si>
    <t>Územní studie Devaterky</t>
  </si>
  <si>
    <t>Letiště Praha - Dobré sousedství - Hasiči</t>
  </si>
  <si>
    <t>Letiště Praha - Biodiverzita - Tereziánská alej</t>
  </si>
  <si>
    <t>Investice, které jsou zasmluvněné</t>
  </si>
  <si>
    <t>Investice, které bude obec muset realizovat</t>
  </si>
  <si>
    <t>Investice, které je vhodné realizovat</t>
  </si>
  <si>
    <t>Investice, které počkají</t>
  </si>
  <si>
    <t>Návrh rozpočtu obce Středokluky na rok 2025</t>
  </si>
  <si>
    <t>Areál Kubrovy školy - splátka</t>
  </si>
  <si>
    <t>SZIF - lavice</t>
  </si>
  <si>
    <t>SZIF - mobiliář</t>
  </si>
  <si>
    <t>Dotace - realizované</t>
  </si>
  <si>
    <t>SZIF - mobiliář "Rekreace"</t>
  </si>
  <si>
    <t>SZIF - vybavení jídelny a skladu</t>
  </si>
  <si>
    <t>příprava realizace</t>
  </si>
  <si>
    <t>Kontrola</t>
  </si>
  <si>
    <t>Spoluúčast obce Běloky</t>
  </si>
  <si>
    <t xml:space="preserve">Upravený návrh ředitele z května 2024,  bude předložen nový investiční plán. </t>
  </si>
  <si>
    <t>platba za poslední fázi</t>
  </si>
  <si>
    <t>Auto četě</t>
  </si>
  <si>
    <t>Nakladač</t>
  </si>
  <si>
    <t>Zřídit předávací místo - vodoměrnou šachtu pro Běloky</t>
  </si>
  <si>
    <t>Vybavení jídelny a skladu</t>
  </si>
  <si>
    <t>VO Nad Běloky</t>
  </si>
  <si>
    <t xml:space="preserve">Poznámka: Dotace neschválené nesmí být zapsané v příjmech, proto některé nejsou ani ve výdajích a investicích. </t>
  </si>
  <si>
    <t>Návrh rozpočtu obce Středokluky 2025 - Výdaje</t>
  </si>
  <si>
    <t>Zpracoval</t>
  </si>
  <si>
    <t>Jaroslav Paznocht</t>
  </si>
  <si>
    <t>Obec Středokluky, Lidická 61, Středokluky, IČO 00241695</t>
  </si>
  <si>
    <t>Návrh rozpočtu obce Středokluky 2025 - Příjmy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</si>
</sst>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K_č_-;\-* #,##0.00\ _K_č_-;_-* &quot;-&quot;??\ _K_č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30"/>
      <color rgb="FF000000"/>
      <name val="Times New Roman"/>
      <family val="1"/>
      <charset val="238"/>
    </font>
    <font>
      <b/>
      <sz val="18"/>
      <color rgb="FF000000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BFE4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84">
    <xf numFmtId="0" fontId="0" fillId="0" borderId="0" xfId="0"/>
    <xf numFmtId="0" fontId="3" fillId="2" borderId="0" xfId="0" applyFont="1" applyFill="1" applyProtection="1">
      <protection locked="0"/>
    </xf>
    <xf numFmtId="0" fontId="3" fillId="0" borderId="0" xfId="0" applyFont="1"/>
    <xf numFmtId="0" fontId="4" fillId="0" borderId="0" xfId="0" applyFont="1"/>
    <xf numFmtId="0" fontId="5" fillId="3" borderId="1" xfId="0" applyFont="1" applyFill="1" applyBorder="1" applyAlignment="1">
      <alignment vertical="top"/>
    </xf>
    <xf numFmtId="0" fontId="5" fillId="4" borderId="1" xfId="0" applyFont="1" applyFill="1" applyBorder="1" applyAlignment="1">
      <alignment vertical="top"/>
    </xf>
    <xf numFmtId="0" fontId="5" fillId="5" borderId="1" xfId="0" applyFont="1" applyFill="1" applyBorder="1" applyAlignment="1">
      <alignment vertical="top"/>
    </xf>
    <xf numFmtId="0" fontId="6" fillId="6" borderId="1" xfId="0" applyFont="1" applyFill="1" applyBorder="1" applyAlignment="1">
      <alignment vertical="top"/>
    </xf>
    <xf numFmtId="0" fontId="6" fillId="7" borderId="1" xfId="0" applyFont="1" applyFill="1" applyBorder="1" applyAlignment="1">
      <alignment vertical="center"/>
    </xf>
    <xf numFmtId="4" fontId="5" fillId="11" borderId="5" xfId="0" applyNumberFormat="1" applyFont="1" applyFill="1" applyBorder="1" applyAlignment="1">
      <alignment vertical="center"/>
    </xf>
    <xf numFmtId="4" fontId="5" fillId="11" borderId="2" xfId="0" applyNumberFormat="1" applyFont="1" applyFill="1" applyBorder="1" applyAlignment="1">
      <alignment vertical="center"/>
    </xf>
    <xf numFmtId="0" fontId="6" fillId="12" borderId="1" xfId="0" applyFont="1" applyFill="1" applyBorder="1" applyAlignment="1">
      <alignment vertical="center"/>
    </xf>
    <xf numFmtId="0" fontId="6" fillId="9" borderId="8" xfId="0" applyFont="1" applyFill="1" applyBorder="1"/>
    <xf numFmtId="0" fontId="6" fillId="8" borderId="9" xfId="0" applyFont="1" applyFill="1" applyBorder="1" applyAlignment="1">
      <alignment horizontal="right" wrapText="1"/>
    </xf>
    <xf numFmtId="4" fontId="6" fillId="11" borderId="10" xfId="0" applyNumberFormat="1" applyFont="1" applyFill="1" applyBorder="1" applyAlignment="1">
      <alignment vertical="center"/>
    </xf>
    <xf numFmtId="4" fontId="6" fillId="11" borderId="11" xfId="0" applyNumberFormat="1" applyFont="1" applyFill="1" applyBorder="1" applyAlignment="1">
      <alignment vertical="center"/>
    </xf>
    <xf numFmtId="4" fontId="5" fillId="11" borderId="3" xfId="0" applyNumberFormat="1" applyFont="1" applyFill="1" applyBorder="1" applyAlignment="1">
      <alignment vertical="center"/>
    </xf>
    <xf numFmtId="4" fontId="5" fillId="11" borderId="4" xfId="0" applyNumberFormat="1" applyFont="1" applyFill="1" applyBorder="1" applyAlignment="1">
      <alignment vertical="center"/>
    </xf>
    <xf numFmtId="0" fontId="6" fillId="10" borderId="12" xfId="0" applyFont="1" applyFill="1" applyBorder="1"/>
    <xf numFmtId="4" fontId="5" fillId="11" borderId="13" xfId="0" applyNumberFormat="1" applyFont="1" applyFill="1" applyBorder="1" applyAlignment="1">
      <alignment vertical="center" wrapText="1"/>
    </xf>
    <xf numFmtId="4" fontId="5" fillId="11" borderId="14" xfId="0" applyNumberFormat="1" applyFont="1" applyFill="1" applyBorder="1" applyAlignment="1">
      <alignment vertical="center" wrapText="1"/>
    </xf>
    <xf numFmtId="4" fontId="6" fillId="11" borderId="15" xfId="0" applyNumberFormat="1" applyFont="1" applyFill="1" applyBorder="1" applyAlignment="1">
      <alignment vertical="center"/>
    </xf>
    <xf numFmtId="0" fontId="6" fillId="8" borderId="8" xfId="0" applyFont="1" applyFill="1" applyBorder="1" applyAlignment="1">
      <alignment horizontal="right" wrapText="1"/>
    </xf>
    <xf numFmtId="0" fontId="7" fillId="5" borderId="1" xfId="0" applyFont="1" applyFill="1" applyBorder="1" applyAlignment="1">
      <alignment vertical="top"/>
    </xf>
    <xf numFmtId="0" fontId="5" fillId="5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top"/>
    </xf>
    <xf numFmtId="4" fontId="6" fillId="11" borderId="8" xfId="0" applyNumberFormat="1" applyFont="1" applyFill="1" applyBorder="1" applyAlignment="1">
      <alignment vertical="center"/>
    </xf>
    <xf numFmtId="4" fontId="6" fillId="11" borderId="12" xfId="0" applyNumberFormat="1" applyFont="1" applyFill="1" applyBorder="1" applyAlignment="1">
      <alignment vertical="center"/>
    </xf>
    <xf numFmtId="4" fontId="5" fillId="11" borderId="13" xfId="0" applyNumberFormat="1" applyFont="1" applyFill="1" applyBorder="1" applyAlignment="1">
      <alignment vertical="center"/>
    </xf>
    <xf numFmtId="4" fontId="5" fillId="11" borderId="14" xfId="0" applyNumberFormat="1" applyFont="1" applyFill="1" applyBorder="1" applyAlignment="1">
      <alignment vertical="center"/>
    </xf>
    <xf numFmtId="4" fontId="5" fillId="11" borderId="17" xfId="0" applyNumberFormat="1" applyFont="1" applyFill="1" applyBorder="1" applyAlignment="1">
      <alignment vertical="center"/>
    </xf>
    <xf numFmtId="4" fontId="5" fillId="11" borderId="18" xfId="0" applyNumberFormat="1" applyFont="1" applyFill="1" applyBorder="1" applyAlignment="1">
      <alignment vertical="center"/>
    </xf>
    <xf numFmtId="4" fontId="6" fillId="11" borderId="20" xfId="0" applyNumberFormat="1" applyFont="1" applyFill="1" applyBorder="1" applyAlignment="1">
      <alignment vertical="center"/>
    </xf>
    <xf numFmtId="0" fontId="6" fillId="8" borderId="12" xfId="0" applyFont="1" applyFill="1" applyBorder="1" applyAlignment="1">
      <alignment horizontal="right" wrapText="1"/>
    </xf>
    <xf numFmtId="0" fontId="6" fillId="13" borderId="16" xfId="0" applyFont="1" applyFill="1" applyBorder="1" applyAlignment="1">
      <alignment horizontal="right" wrapText="1"/>
    </xf>
    <xf numFmtId="0" fontId="8" fillId="7" borderId="1" xfId="0" applyFont="1" applyFill="1" applyBorder="1" applyAlignment="1">
      <alignment vertical="center"/>
    </xf>
    <xf numFmtId="9" fontId="4" fillId="0" borderId="0" xfId="0" applyNumberFormat="1" applyFont="1"/>
    <xf numFmtId="0" fontId="0" fillId="0" borderId="29" xfId="0" applyBorder="1"/>
    <xf numFmtId="0" fontId="0" fillId="0" borderId="30" xfId="0" applyBorder="1"/>
    <xf numFmtId="164" fontId="0" fillId="0" borderId="29" xfId="1" applyNumberFormat="1" applyFont="1" applyBorder="1"/>
    <xf numFmtId="0" fontId="0" fillId="0" borderId="2" xfId="0" applyBorder="1"/>
    <xf numFmtId="43" fontId="0" fillId="0" borderId="0" xfId="1" applyFont="1"/>
    <xf numFmtId="43" fontId="0" fillId="0" borderId="2" xfId="1" applyFont="1" applyBorder="1"/>
    <xf numFmtId="0" fontId="0" fillId="0" borderId="3" xfId="0" applyBorder="1"/>
    <xf numFmtId="0" fontId="0" fillId="0" borderId="26" xfId="0" applyBorder="1"/>
    <xf numFmtId="0" fontId="0" fillId="0" borderId="5" xfId="0" applyBorder="1"/>
    <xf numFmtId="0" fontId="0" fillId="0" borderId="6" xfId="0" applyBorder="1"/>
    <xf numFmtId="0" fontId="10" fillId="0" borderId="3" xfId="0" applyFont="1" applyBorder="1"/>
    <xf numFmtId="0" fontId="10" fillId="14" borderId="30" xfId="0" applyFont="1" applyFill="1" applyBorder="1"/>
    <xf numFmtId="0" fontId="10" fillId="0" borderId="6" xfId="0" applyFont="1" applyBorder="1"/>
    <xf numFmtId="3" fontId="6" fillId="11" borderId="20" xfId="0" applyNumberFormat="1" applyFont="1" applyFill="1" applyBorder="1" applyAlignment="1">
      <alignment vertical="center"/>
    </xf>
    <xf numFmtId="164" fontId="0" fillId="0" borderId="27" xfId="1" applyNumberFormat="1" applyFont="1" applyBorder="1"/>
    <xf numFmtId="164" fontId="0" fillId="0" borderId="27" xfId="0" applyNumberFormat="1" applyBorder="1"/>
    <xf numFmtId="164" fontId="10" fillId="0" borderId="7" xfId="0" applyNumberFormat="1" applyFont="1" applyBorder="1"/>
    <xf numFmtId="164" fontId="0" fillId="0" borderId="29" xfId="0" applyNumberFormat="1" applyBorder="1"/>
    <xf numFmtId="164" fontId="0" fillId="0" borderId="26" xfId="0" applyNumberFormat="1" applyBorder="1"/>
    <xf numFmtId="164" fontId="0" fillId="0" borderId="7" xfId="1" applyNumberFormat="1" applyFont="1" applyBorder="1"/>
    <xf numFmtId="164" fontId="10" fillId="14" borderId="25" xfId="1" applyNumberFormat="1" applyFont="1" applyFill="1" applyBorder="1"/>
    <xf numFmtId="164" fontId="0" fillId="0" borderId="25" xfId="1" applyNumberFormat="1" applyFont="1" applyBorder="1"/>
    <xf numFmtId="3" fontId="4" fillId="0" borderId="0" xfId="0" applyNumberFormat="1" applyFont="1"/>
    <xf numFmtId="0" fontId="2" fillId="0" borderId="0" xfId="0" applyFont="1"/>
    <xf numFmtId="43" fontId="0" fillId="0" borderId="1" xfId="1" applyFont="1" applyBorder="1"/>
    <xf numFmtId="0" fontId="10" fillId="0" borderId="21" xfId="0" applyFont="1" applyBorder="1"/>
    <xf numFmtId="0" fontId="0" fillId="0" borderId="35" xfId="0" applyBorder="1"/>
    <xf numFmtId="0" fontId="12" fillId="14" borderId="0" xfId="0" applyFont="1" applyFill="1"/>
    <xf numFmtId="164" fontId="0" fillId="0" borderId="1" xfId="1" applyNumberFormat="1" applyFont="1" applyBorder="1"/>
    <xf numFmtId="0" fontId="0" fillId="0" borderId="1" xfId="0" applyBorder="1"/>
    <xf numFmtId="9" fontId="0" fillId="0" borderId="1" xfId="2" applyFont="1" applyBorder="1"/>
    <xf numFmtId="0" fontId="0" fillId="0" borderId="33" xfId="0" applyBorder="1"/>
    <xf numFmtId="164" fontId="0" fillId="0" borderId="32" xfId="1" applyNumberFormat="1" applyFont="1" applyBorder="1"/>
    <xf numFmtId="9" fontId="0" fillId="0" borderId="32" xfId="2" applyFont="1" applyBorder="1"/>
    <xf numFmtId="164" fontId="0" fillId="0" borderId="37" xfId="1" applyNumberFormat="1" applyFont="1" applyBorder="1"/>
    <xf numFmtId="9" fontId="0" fillId="0" borderId="37" xfId="0" applyNumberFormat="1" applyBorder="1"/>
    <xf numFmtId="9" fontId="0" fillId="0" borderId="38" xfId="0" applyNumberFormat="1" applyBorder="1"/>
    <xf numFmtId="0" fontId="10" fillId="0" borderId="37" xfId="0" applyFont="1" applyBorder="1"/>
    <xf numFmtId="0" fontId="10" fillId="0" borderId="38" xfId="0" applyFont="1" applyBorder="1"/>
    <xf numFmtId="164" fontId="0" fillId="0" borderId="22" xfId="1" applyNumberFormat="1" applyFont="1" applyBorder="1"/>
    <xf numFmtId="164" fontId="0" fillId="0" borderId="23" xfId="1" applyNumberFormat="1" applyFont="1" applyBorder="1"/>
    <xf numFmtId="164" fontId="0" fillId="0" borderId="24" xfId="1" applyNumberFormat="1" applyFont="1" applyBorder="1"/>
    <xf numFmtId="164" fontId="0" fillId="0" borderId="35" xfId="1" applyNumberFormat="1" applyFont="1" applyBorder="1"/>
    <xf numFmtId="164" fontId="0" fillId="0" borderId="36" xfId="1" applyNumberFormat="1" applyFont="1" applyBorder="1"/>
    <xf numFmtId="164" fontId="0" fillId="0" borderId="33" xfId="1" applyNumberFormat="1" applyFont="1" applyBorder="1"/>
    <xf numFmtId="9" fontId="0" fillId="0" borderId="16" xfId="2" applyFont="1" applyBorder="1"/>
    <xf numFmtId="9" fontId="0" fillId="0" borderId="39" xfId="2" applyFont="1" applyBorder="1"/>
    <xf numFmtId="9" fontId="0" fillId="0" borderId="20" xfId="2" applyFont="1" applyBorder="1"/>
    <xf numFmtId="164" fontId="12" fillId="14" borderId="36" xfId="1" applyNumberFormat="1" applyFont="1" applyFill="1" applyBorder="1"/>
    <xf numFmtId="164" fontId="12" fillId="14" borderId="34" xfId="1" applyNumberFormat="1" applyFont="1" applyFill="1" applyBorder="1"/>
    <xf numFmtId="14" fontId="0" fillId="0" borderId="0" xfId="0" applyNumberFormat="1"/>
    <xf numFmtId="165" fontId="0" fillId="0" borderId="1" xfId="0" applyNumberFormat="1" applyBorder="1"/>
    <xf numFmtId="14" fontId="0" fillId="0" borderId="2" xfId="0" applyNumberFormat="1" applyBorder="1"/>
    <xf numFmtId="0" fontId="5" fillId="11" borderId="5" xfId="0" applyFont="1" applyFill="1" applyBorder="1" applyAlignment="1">
      <alignment horizontal="left" vertical="center"/>
    </xf>
    <xf numFmtId="4" fontId="5" fillId="11" borderId="31" xfId="0" applyNumberFormat="1" applyFont="1" applyFill="1" applyBorder="1" applyAlignment="1">
      <alignment vertical="center"/>
    </xf>
    <xf numFmtId="4" fontId="5" fillId="11" borderId="40" xfId="0" applyNumberFormat="1" applyFont="1" applyFill="1" applyBorder="1" applyAlignment="1">
      <alignment vertical="center" wrapText="1"/>
    </xf>
    <xf numFmtId="4" fontId="5" fillId="11" borderId="28" xfId="0" applyNumberFormat="1" applyFont="1" applyFill="1" applyBorder="1" applyAlignment="1">
      <alignment vertical="center"/>
    </xf>
    <xf numFmtId="4" fontId="5" fillId="11" borderId="40" xfId="0" applyNumberFormat="1" applyFont="1" applyFill="1" applyBorder="1" applyAlignment="1">
      <alignment vertical="center"/>
    </xf>
    <xf numFmtId="4" fontId="5" fillId="11" borderId="41" xfId="0" applyNumberFormat="1" applyFont="1" applyFill="1" applyBorder="1" applyAlignment="1">
      <alignment vertical="center"/>
    </xf>
    <xf numFmtId="4" fontId="6" fillId="11" borderId="2" xfId="0" applyNumberFormat="1" applyFont="1" applyFill="1" applyBorder="1" applyAlignment="1">
      <alignment vertical="center"/>
    </xf>
    <xf numFmtId="3" fontId="6" fillId="11" borderId="2" xfId="0" applyNumberFormat="1" applyFont="1" applyFill="1" applyBorder="1" applyAlignment="1">
      <alignment vertical="center"/>
    </xf>
    <xf numFmtId="0" fontId="3" fillId="0" borderId="39" xfId="0" applyFont="1" applyBorder="1"/>
    <xf numFmtId="4" fontId="14" fillId="11" borderId="14" xfId="0" applyNumberFormat="1" applyFont="1" applyFill="1" applyBorder="1" applyAlignment="1">
      <alignment vertical="center"/>
    </xf>
    <xf numFmtId="3" fontId="5" fillId="15" borderId="17" xfId="0" applyNumberFormat="1" applyFont="1" applyFill="1" applyBorder="1" applyAlignment="1">
      <alignment vertical="center"/>
    </xf>
    <xf numFmtId="3" fontId="5" fillId="15" borderId="18" xfId="0" applyNumberFormat="1" applyFont="1" applyFill="1" applyBorder="1" applyAlignment="1">
      <alignment vertical="center"/>
    </xf>
    <xf numFmtId="3" fontId="5" fillId="15" borderId="41" xfId="0" applyNumberFormat="1" applyFont="1" applyFill="1" applyBorder="1" applyAlignment="1">
      <alignment vertical="center"/>
    </xf>
    <xf numFmtId="0" fontId="10" fillId="0" borderId="0" xfId="0" applyFont="1"/>
    <xf numFmtId="164" fontId="0" fillId="0" borderId="0" xfId="1" applyNumberFormat="1" applyFont="1"/>
    <xf numFmtId="164" fontId="10" fillId="0" borderId="0" xfId="1" applyNumberFormat="1" applyFont="1"/>
    <xf numFmtId="0" fontId="0" fillId="16" borderId="0" xfId="0" applyFill="1"/>
    <xf numFmtId="164" fontId="0" fillId="16" borderId="0" xfId="1" applyNumberFormat="1" applyFont="1" applyFill="1"/>
    <xf numFmtId="0" fontId="0" fillId="17" borderId="0" xfId="0" applyFill="1"/>
    <xf numFmtId="164" fontId="0" fillId="17" borderId="0" xfId="1" applyNumberFormat="1" applyFont="1" applyFill="1"/>
    <xf numFmtId="0" fontId="10" fillId="17" borderId="0" xfId="0" applyFont="1" applyFill="1"/>
    <xf numFmtId="164" fontId="10" fillId="17" borderId="0" xfId="1" applyNumberFormat="1" applyFont="1" applyFill="1"/>
    <xf numFmtId="0" fontId="10" fillId="16" borderId="0" xfId="0" applyFont="1" applyFill="1"/>
    <xf numFmtId="164" fontId="10" fillId="16" borderId="0" xfId="1" applyNumberFormat="1" applyFont="1" applyFill="1"/>
    <xf numFmtId="0" fontId="10" fillId="18" borderId="0" xfId="0" applyFont="1" applyFill="1"/>
    <xf numFmtId="164" fontId="10" fillId="18" borderId="0" xfId="1" applyNumberFormat="1" applyFont="1" applyFill="1"/>
    <xf numFmtId="0" fontId="10" fillId="19" borderId="0" xfId="0" applyFont="1" applyFill="1"/>
    <xf numFmtId="164" fontId="10" fillId="19" borderId="0" xfId="1" applyNumberFormat="1" applyFont="1" applyFill="1"/>
    <xf numFmtId="0" fontId="0" fillId="18" borderId="0" xfId="0" applyFill="1"/>
    <xf numFmtId="164" fontId="0" fillId="18" borderId="0" xfId="1" applyNumberFormat="1" applyFont="1" applyFill="1"/>
    <xf numFmtId="0" fontId="1" fillId="17" borderId="0" xfId="0" applyFont="1" applyFill="1"/>
    <xf numFmtId="0" fontId="0" fillId="20" borderId="0" xfId="0" applyFill="1"/>
    <xf numFmtId="164" fontId="0" fillId="20" borderId="0" xfId="1" applyNumberFormat="1" applyFont="1" applyFill="1"/>
    <xf numFmtId="43" fontId="0" fillId="0" borderId="27" xfId="1" applyFont="1" applyBorder="1"/>
    <xf numFmtId="0" fontId="10" fillId="0" borderId="8" xfId="0" applyFont="1" applyBorder="1"/>
    <xf numFmtId="0" fontId="10" fillId="0" borderId="9" xfId="0" applyFont="1" applyBorder="1"/>
    <xf numFmtId="0" fontId="10" fillId="0" borderId="43" xfId="0" applyFont="1" applyBorder="1"/>
    <xf numFmtId="0" fontId="10" fillId="0" borderId="10" xfId="0" applyFont="1" applyBorder="1"/>
    <xf numFmtId="43" fontId="10" fillId="0" borderId="11" xfId="1" applyFont="1" applyBorder="1"/>
    <xf numFmtId="0" fontId="0" fillId="0" borderId="4" xfId="0" applyBorder="1"/>
    <xf numFmtId="0" fontId="0" fillId="0" borderId="42" xfId="0" applyBorder="1"/>
    <xf numFmtId="43" fontId="0" fillId="0" borderId="42" xfId="1" applyFont="1" applyBorder="1"/>
    <xf numFmtId="43" fontId="0" fillId="0" borderId="7" xfId="1" applyFont="1" applyBorder="1"/>
    <xf numFmtId="0" fontId="10" fillId="0" borderId="22" xfId="0" applyFont="1" applyBorder="1"/>
    <xf numFmtId="0" fontId="10" fillId="0" borderId="45" xfId="0" applyFont="1" applyBorder="1"/>
    <xf numFmtId="0" fontId="0" fillId="0" borderId="46" xfId="0" applyBorder="1"/>
    <xf numFmtId="0" fontId="0" fillId="0" borderId="47" xfId="0" applyBorder="1"/>
    <xf numFmtId="0" fontId="10" fillId="0" borderId="33" xfId="0" applyFont="1" applyBorder="1"/>
    <xf numFmtId="0" fontId="0" fillId="0" borderId="45" xfId="0" applyBorder="1"/>
    <xf numFmtId="43" fontId="0" fillId="0" borderId="4" xfId="1" applyFont="1" applyBorder="1"/>
    <xf numFmtId="165" fontId="0" fillId="0" borderId="4" xfId="0" applyNumberFormat="1" applyBorder="1"/>
    <xf numFmtId="43" fontId="0" fillId="0" borderId="26" xfId="1" applyFont="1" applyBorder="1"/>
    <xf numFmtId="43" fontId="0" fillId="0" borderId="9" xfId="1" applyFont="1" applyBorder="1"/>
    <xf numFmtId="0" fontId="0" fillId="0" borderId="9" xfId="0" applyBorder="1"/>
    <xf numFmtId="165" fontId="0" fillId="0" borderId="9" xfId="0" applyNumberFormat="1" applyBorder="1"/>
    <xf numFmtId="165" fontId="0" fillId="0" borderId="43" xfId="0" applyNumberFormat="1" applyBorder="1"/>
    <xf numFmtId="14" fontId="10" fillId="0" borderId="11" xfId="0" applyNumberFormat="1" applyFont="1" applyBorder="1"/>
    <xf numFmtId="43" fontId="10" fillId="0" borderId="44" xfId="1" applyFont="1" applyBorder="1"/>
    <xf numFmtId="14" fontId="0" fillId="0" borderId="4" xfId="0" applyNumberFormat="1" applyBorder="1"/>
    <xf numFmtId="14" fontId="0" fillId="0" borderId="42" xfId="0" applyNumberFormat="1" applyBorder="1"/>
    <xf numFmtId="43" fontId="0" fillId="0" borderId="8" xfId="1" applyFont="1" applyBorder="1"/>
    <xf numFmtId="0" fontId="0" fillId="0" borderId="31" xfId="0" applyBorder="1"/>
    <xf numFmtId="0" fontId="0" fillId="0" borderId="48" xfId="0" applyBorder="1"/>
    <xf numFmtId="43" fontId="0" fillId="0" borderId="28" xfId="1" applyFont="1" applyBorder="1"/>
    <xf numFmtId="165" fontId="0" fillId="0" borderId="28" xfId="0" applyNumberFormat="1" applyBorder="1"/>
    <xf numFmtId="43" fontId="0" fillId="0" borderId="49" xfId="1" applyFont="1" applyBorder="1"/>
    <xf numFmtId="0" fontId="10" fillId="0" borderId="50" xfId="0" applyFont="1" applyBorder="1"/>
    <xf numFmtId="165" fontId="10" fillId="0" borderId="51" xfId="0" applyNumberFormat="1" applyFont="1" applyBorder="1"/>
    <xf numFmtId="165" fontId="10" fillId="0" borderId="25" xfId="0" applyNumberFormat="1" applyFont="1" applyBorder="1"/>
    <xf numFmtId="43" fontId="10" fillId="0" borderId="21" xfId="1" applyFont="1" applyBorder="1"/>
    <xf numFmtId="43" fontId="0" fillId="0" borderId="27" xfId="1" applyFont="1" applyBorder="1" applyAlignment="1">
      <alignment horizontal="right"/>
    </xf>
    <xf numFmtId="43" fontId="0" fillId="0" borderId="43" xfId="1" applyFont="1" applyBorder="1"/>
    <xf numFmtId="3" fontId="0" fillId="0" borderId="5" xfId="0" applyNumberFormat="1" applyBorder="1"/>
    <xf numFmtId="3" fontId="0" fillId="0" borderId="6" xfId="0" applyNumberFormat="1" applyBorder="1"/>
    <xf numFmtId="0" fontId="0" fillId="0" borderId="28" xfId="0" applyBorder="1"/>
    <xf numFmtId="0" fontId="10" fillId="0" borderId="30" xfId="0" applyFont="1" applyBorder="1"/>
    <xf numFmtId="0" fontId="10" fillId="0" borderId="51" xfId="0" applyFont="1" applyBorder="1"/>
    <xf numFmtId="43" fontId="10" fillId="0" borderId="51" xfId="0" applyNumberFormat="1" applyFont="1" applyBorder="1"/>
    <xf numFmtId="43" fontId="10" fillId="0" borderId="25" xfId="0" applyNumberFormat="1" applyFont="1" applyBorder="1"/>
    <xf numFmtId="0" fontId="0" fillId="0" borderId="21" xfId="0" applyBorder="1"/>
    <xf numFmtId="0" fontId="0" fillId="0" borderId="37" xfId="0" applyBorder="1"/>
    <xf numFmtId="43" fontId="0" fillId="0" borderId="37" xfId="0" applyNumberFormat="1" applyBorder="1"/>
    <xf numFmtId="43" fontId="0" fillId="0" borderId="38" xfId="0" applyNumberFormat="1" applyBorder="1"/>
    <xf numFmtId="3" fontId="5" fillId="15" borderId="19" xfId="0" applyNumberFormat="1" applyFont="1" applyFill="1" applyBorder="1" applyAlignment="1">
      <alignment vertical="center"/>
    </xf>
    <xf numFmtId="0" fontId="0" fillId="0" borderId="8" xfId="0" applyBorder="1"/>
    <xf numFmtId="43" fontId="0" fillId="0" borderId="24" xfId="1" applyFont="1" applyBorder="1"/>
    <xf numFmtId="165" fontId="10" fillId="0" borderId="38" xfId="0" applyNumberFormat="1" applyFont="1" applyBorder="1"/>
    <xf numFmtId="0" fontId="5" fillId="13" borderId="1" xfId="0" applyFont="1" applyFill="1" applyBorder="1" applyAlignment="1">
      <alignment vertical="top"/>
    </xf>
    <xf numFmtId="0" fontId="6" fillId="12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/>
    </xf>
    <xf numFmtId="0" fontId="6" fillId="12" borderId="14" xfId="0" applyFont="1" applyFill="1" applyBorder="1" applyAlignment="1">
      <alignment horizontal="left" vertical="center"/>
    </xf>
    <xf numFmtId="0" fontId="6" fillId="12" borderId="52" xfId="0" applyFont="1" applyFill="1" applyBorder="1" applyAlignment="1">
      <alignment horizontal="left" vertical="center"/>
    </xf>
    <xf numFmtId="4" fontId="6" fillId="11" borderId="14" xfId="0" applyNumberFormat="1" applyFont="1" applyFill="1" applyBorder="1" applyAlignment="1">
      <alignment horizontal="center" vertical="center"/>
    </xf>
    <xf numFmtId="4" fontId="6" fillId="11" borderId="52" xfId="0" applyNumberFormat="1" applyFont="1" applyFill="1" applyBorder="1" applyAlignment="1">
      <alignment horizontal="center" vertical="center"/>
    </xf>
  </cellXfs>
  <cellStyles count="3">
    <cellStyle name="Čárka" xfId="1" builtinId="3"/>
    <cellStyle name="Normální" xfId="0" builtinId="0"/>
    <cellStyle name="Procent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7" dT="2023-12-05T10:37:52.98" personId="{00000000-0000-0000-0000-000000000000}" id="{E4FB3508-0326-422D-A91C-3B5000158338}">
    <text xml:space="preserve">Daňové příjmy, dotace apod. </text>
  </threadedComment>
  <threadedComment ref="C8" dT="2023-12-05T10:32:35.67" personId="{00000000-0000-0000-0000-000000000000}" id="{142612A6-AFF4-448D-AEC5-E37841F259DF}">
    <text xml:space="preserve">Nájem 1.VHS - dle kalkulace. </text>
  </threadedComment>
  <threadedComment ref="C9" dT="2023-12-05T10:32:42.57" personId="{00000000-0000-0000-0000-000000000000}" id="{53E00F7D-60F3-4A03-A5F6-B3A3DFC9F614}">
    <text>Nájem 1.VHS - dle kalkulace.</text>
  </threadedComment>
  <threadedComment ref="C10" dT="2023-12-05T10:32:54.80" personId="{00000000-0000-0000-0000-000000000000}" id="{0B43FCC0-8601-4A3B-882D-CA3D15A62D93}">
    <text>Nájemné rybník Pod Panskou</text>
  </threadedComment>
  <threadedComment ref="E11" dT="2024-11-05T09:46:54.40" personId="{00000000-0000-0000-0000-000000000000}" id="{FC59A95A-2647-4F71-ABC4-A7DC27238682}">
    <text xml:space="preserve">Pojistné plnění. </text>
  </threadedComment>
  <threadedComment ref="E12" dT="2024-11-05T09:46:27.61" personId="{00000000-0000-0000-0000-000000000000}" id="{FC6E886C-4BE4-4381-8CE9-26C343E28821}">
    <text>Pojistná plnění - zaplavená třída. Patří tam taky vratka dotací - obědy do škol.</text>
  </threadedComment>
  <threadedComment ref="C13" dT="2023-12-05T10:33:08.93" personId="{00000000-0000-0000-0000-000000000000}" id="{B92A2020-0E11-4F23-8D8A-A126D86EF166}">
    <text>Virtuální univerzita 3. věku.</text>
  </threadedComment>
  <threadedComment ref="C14" dT="2023-12-05T10:33:54.62" personId="{00000000-0000-0000-0000-000000000000}" id="{7E58E3CF-A62A-453B-853E-D23F129A8F44}">
    <text>Pronájem Sportovní areál "Koupaliště"</text>
  </threadedComment>
  <threadedComment ref="C15" dT="2023-12-05T10:34:06.52" personId="{00000000-0000-0000-0000-000000000000}" id="{D0815442-AC7B-45AE-A3BA-A2CA3DB43FE0}">
    <text>Nájmy č.p. 68</text>
  </threadedComment>
  <threadedComment ref="E16" dT="2024-11-06T11:38:46.21" personId="{00000000-0000-0000-0000-000000000000}" id="{1869CDBB-0B9D-433C-865E-4026D330DF65}">
    <text>Školní kuchyně - nájem</text>
  </threadedComment>
  <threadedComment ref="F16" dT="2024-11-05T09:41:16.10" personId="{00000000-0000-0000-0000-000000000000}" id="{E668B0DB-FA4E-4024-9DC6-642FC5744254}">
    <text>Pronájem školní kuchyně.</text>
  </threadedComment>
  <threadedComment ref="E17" dT="2024-11-06T11:38:28.92" personId="{00000000-0000-0000-0000-000000000000}" id="{2EBD79DB-2163-4947-B051-37661FE33F63}">
    <text xml:space="preserve">Pojistné plnění. </text>
  </threadedComment>
  <threadedComment ref="C18" dT="2023-12-08T22:23:23.38" personId="{00000000-0000-0000-0000-000000000000}" id="{78A7B845-072B-4DBC-89A5-12A62212E3D6}">
    <text xml:space="preserve">Toto jsou věcná břemena. Nedokážeme predikovat. </text>
  </threadedComment>
  <threadedComment ref="C19" dT="2023-12-05T10:34:40.98" personId="{00000000-0000-0000-0000-000000000000}" id="{7A283CC3-F263-4175-9FAB-C268439C0094}">
    <text xml:space="preserve">Prodej popelnic občanům. </text>
  </threadedComment>
  <threadedComment ref="C20" dT="2023-12-05T10:35:10.36" personId="{00000000-0000-0000-0000-000000000000}" id="{6D380804-A4D1-464B-AB46-5D5FCC19030F}">
    <text xml:space="preserve">Příspěvek EkoKom. 
Snížen dle reálných hodnot. Pokud bude zavedeno zálohování plastových lahví, změní se.      </text>
  </threadedComment>
  <threadedComment ref="C21" dT="2023-12-05T10:36:41.00" personId="{00000000-0000-0000-0000-000000000000}" id="{971A941F-4D1C-47EA-8457-F3CE1C4FD24B}">
    <text xml:space="preserve">Příspěvek na pronájem popelnic na bioodpad. </text>
  </threadedComment>
  <threadedComment ref="E22" dT="2024-11-05T09:48:45.50" personId="{00000000-0000-0000-0000-000000000000}" id="{2C6AB9A1-09E7-4236-AB77-5FB8E2E73B6E}">
    <text>Pokuta ZPF</text>
  </threadedComment>
  <threadedComment ref="E23" dT="2024-11-06T11:36:51.56" personId="{00000000-0000-0000-0000-000000000000}" id="{63DB77E7-B098-47E6-8F22-951CE2236812}">
    <text>Pojistné plnění</text>
  </threadedComment>
  <threadedComment ref="C24" dT="2023-12-29T11:46:04.47" personId="{00000000-0000-0000-0000-000000000000}" id="{5450BDE5-DA71-4FB9-B767-BD8AC3108AAD}">
    <text xml:space="preserve">Nájemné Cetin, Česká pošta, prodej knih apod. </text>
  </threadedComment>
  <threadedComment ref="E24" dT="2024-11-05T09:49:45.16" personId="{00000000-0000-0000-0000-000000000000}" id="{5618D55F-BE40-4A5F-8AE6-61152913E26F}">
    <text xml:space="preserve">Přefakturace energií. </text>
  </threadedComment>
  <threadedComment ref="C25" dT="2023-12-29T11:48:20.96" personId="{00000000-0000-0000-0000-000000000000}" id="{1D84D153-CE72-4B81-B372-AC4F9E539F72}">
    <text>Humanitární činnost nepředpokládáme.</text>
  </threadedComment>
  <threadedComment ref="C32" dT="2023-12-07T16:16:46.40" personId="{00000000-0000-0000-0000-000000000000}" id="{974C8E0F-43FA-4ACD-A03B-ADF3BDBB3B7B}">
    <text>Kastrace koček.</text>
  </threadedComment>
  <threadedComment ref="C33" dT="2023-12-07T16:17:08.84" personId="{00000000-0000-0000-0000-000000000000}" id="{BFE4B858-E47D-4729-BFDC-4C6BEF518219}">
    <text>Zde je částka odhadovaná na opravy silnic + 353 320 Kč na dopravní vizi.</text>
  </threadedComment>
  <threadedComment ref="F33" dT="2024-11-06T14:03:44.93" personId="{00000000-0000-0000-0000-000000000000}" id="{4AC15942-9229-46F3-A07F-04566FC9D757}">
    <text>Opravy</text>
  </threadedComment>
  <threadedComment ref="C34" dT="2023-12-07T16:17:59.48" personId="{00000000-0000-0000-0000-000000000000}" id="{4F037D5A-6FC9-4551-99EE-F1718566C3E2}">
    <text xml:space="preserve">Toto jsou chodníky. Částka bude značně nepřesná, bude záležet jakým způsobem dokončíme chodník na 4křižovatce. </text>
  </threadedComment>
  <threadedComment ref="F34" dT="2024-11-06T14:03:31.03" personId="{00000000-0000-0000-0000-000000000000}" id="{DDB27033-3ECB-4623-9B06-88CBAE24345D}">
    <text>4křižovatka</text>
  </threadedComment>
  <threadedComment ref="C35" dT="2023-12-07T16:18:42.97" personId="{00000000-0000-0000-0000-000000000000}" id="{87360C58-D41B-4DCB-9D92-DB4F69C22F9F}">
    <text xml:space="preserve">Toto jsou autobusové zastávky, nejspíše budeme dělat nějaké akce kolem zastávek na Černovičkách. </text>
  </threadedComment>
  <threadedComment ref="C36" dT="2023-12-07T16:18:59.74" personId="{00000000-0000-0000-0000-000000000000}" id="{554A38CD-3933-4C83-A4AA-D05D6963A702}">
    <text xml:space="preserve">Platba za MHD, částka odpovídá realitě. </text>
  </threadedComment>
  <threadedComment ref="F36" dT="2024-11-05T12:01:29.94" personId="{00000000-0000-0000-0000-000000000000}" id="{0A0C463B-AED3-4462-84AC-17602B0A47AB}">
    <text>122265,- Kč dle záloh</text>
  </threadedComment>
  <threadedComment ref="C37" dT="2023-12-07T16:32:16.51" personId="{00000000-0000-0000-0000-000000000000}" id="{87ED6EBD-FDDE-4D3F-BA85-DF13940E0CF5}">
    <text>Výdaje na předávací místo a měřící body + vodné obec.</text>
  </threadedComment>
  <threadedComment ref="F37" dT="2024-11-06T14:03:03.20" personId="{00000000-0000-0000-0000-000000000000}" id="{238B4BA0-6D47-4876-91D2-2E0CC87716E1}">
    <text>Vodoměrná šachta Nad Běloky</text>
  </threadedComment>
  <threadedComment ref="C38" dT="2023-12-07T16:32:29.72" personId="{00000000-0000-0000-0000-000000000000}" id="{E5F511DB-48C5-4CE5-915D-E412F9EF41C1}">
    <text xml:space="preserve">Kanálové vpusti, čistírna odpadních vod, stočné obce. 
</text>
  </threadedComment>
  <threadedComment ref="F38" dT="2024-11-06T14:02:26.24" personId="{00000000-0000-0000-0000-000000000000}" id="{F5BC019A-0128-4249-BB05-4288147DDFC2}">
    <text>Investice</text>
  </threadedComment>
  <threadedComment ref="C39" dT="2023-12-07T16:32:49.17" personId="{00000000-0000-0000-0000-000000000000}" id="{952B3DBC-AD6A-4081-AAA5-C84191DB75DC}">
    <text>Rybníky - v tuto chvíli tu nejsou žádné výdaje, ale neznamená to, že by obec nečekaly.</text>
  </threadedComment>
  <threadedComment ref="F39" dT="2024-11-06T14:01:54.13" personId="{00000000-0000-0000-0000-000000000000}" id="{4D3B955B-BD37-43D0-A488-18D08FCCF918}">
    <text>Česla rybník</text>
  </threadedComment>
  <threadedComment ref="C40" dT="2023-12-08T22:27:12.59" personId="{00000000-0000-0000-0000-000000000000}" id="{FE164397-F7BB-4019-BB44-6B5662A100FA}">
    <text xml:space="preserve">1 300 000,- na provoz dle návrhu rozpočtu, 100 tisíc Kč na běžnou údržbu budov. </text>
  </threadedComment>
  <threadedComment ref="F40" dT="2024-11-06T14:01:40.13" personId="{00000000-0000-0000-0000-000000000000}" id="{1ED6536D-D2BA-4E7B-88ED-1052817DDEEB}">
    <text>Požadavek MŠ 1300 tis. Kč.</text>
  </threadedComment>
  <threadedComment ref="C41" dT="2023-12-05T10:14:27.71" personId="{00000000-0000-0000-0000-000000000000}" id="{A940F017-D40E-4B24-AB26-A2C29CDDAB05}">
    <text>1) Příspěvek ZŠ - 4 500 000,-
2) Dokončení rozestavěných tříd - 770 000,- 
3) 2 další učebny (105 a 204) - 1 200 000,- 
4) Strategie ZŠ - 414 486,-
5) Stříška šatny
Chybí například: 
1) Dveře družina. 
2) Úpravy kuchyně.
3) Dotace IROP - 2 933 180,- (2021), podíl obce 15 % (43 977,- Kč)
4) Odvlhčení chodby č.p. 187
5) Nábytek do třídy z dotace - 200 tisíc Kč.</text>
  </threadedComment>
  <threadedComment ref="F41" dT="2024-11-06T14:00:33.44" personId="{00000000-0000-0000-0000-000000000000}" id="{F82C400E-5BF8-493B-8E69-0FB586517D1B}">
    <text xml:space="preserve">Investice + požadavek ZŠ do rozpočtu
</text>
  </threadedComment>
  <threadedComment ref="C42" dT="2023-12-07T16:33:09.37" personId="{00000000-0000-0000-0000-000000000000}" id="{89C9EFAB-837A-410E-9F1F-413E641AC499}">
    <text xml:space="preserve">Virtuální univerzita 3. věku.
</text>
  </threadedComment>
  <threadedComment ref="C43" dT="2023-12-08T22:36:34.55" personId="{00000000-0000-0000-0000-000000000000}" id="{348FC620-4904-4537-A035-E710DC236091}">
    <text xml:space="preserve">Dotace spolkům a akce obce. </text>
  </threadedComment>
  <threadedComment ref="C45" dT="2023-12-08T22:35:34.00" personId="{00000000-0000-0000-0000-000000000000}" id="{FD0B20A3-B02E-4AB3-9877-EBD05A0BD885}">
    <text>Vydávání Středoklucké Střely.</text>
  </threadedComment>
  <threadedComment ref="C46" dT="2023-12-08T22:36:16.33" personId="{00000000-0000-0000-0000-000000000000}" id="{C0554A74-860C-4609-AA08-44428816C6E9}">
    <text xml:space="preserve">Dotace spolkům a akce obce. </text>
  </threadedComment>
  <threadedComment ref="C47" dT="2023-12-08T22:36:09.18" personId="{00000000-0000-0000-0000-000000000000}" id="{1AD0C873-3D2A-4137-8B58-2381CB169538}">
    <text>Fotbalové hřiště.</text>
  </threadedComment>
  <threadedComment ref="C48" dT="2023-12-08T22:35:56.09" personId="{00000000-0000-0000-0000-000000000000}" id="{F880D9AE-0064-4084-97A5-2A20E723FE21}">
    <text xml:space="preserve">Dotace spolkům a akce obce. </text>
  </threadedComment>
  <threadedComment ref="C49" dT="2023-12-08T22:35:44.65" personId="{00000000-0000-0000-0000-000000000000}" id="{1CFB28D6-7576-4EDC-97D2-B0443553C264}">
    <text xml:space="preserve">Dotace spolkům a akce obce. </text>
  </threadedComment>
  <threadedComment ref="C50" dT="2023-12-08T22:35:50.34" personId="{00000000-0000-0000-0000-000000000000}" id="{73D4B7D6-17C5-46E0-A70F-F8C531C7664B}">
    <text xml:space="preserve">Dotace spolkům a akce obce. </text>
  </threadedComment>
  <threadedComment ref="C51" dT="2023-12-08T22:33:51.31" personId="{00000000-0000-0000-0000-000000000000}" id="{6691F36C-D327-4AC7-AD15-D30D9719BD8D}">
    <text xml:space="preserve">Pronájmy z bytového domu. Jsou zde také platby za energie. </text>
  </threadedComment>
  <threadedComment ref="C52" dT="2023-12-08T22:21:42.68" personId="{00000000-0000-0000-0000-000000000000}" id="{8F8E1EA5-7DBD-4F97-8267-BCAED716393E}">
    <text xml:space="preserve">350 tisíc Kč na elektřinu
4 620 000 Kč na výstavbu veřejného osvěltení
</text>
  </threadedComment>
  <threadedComment ref="F52" dT="2024-11-06T13:58:41.76" personId="{00000000-0000-0000-0000-000000000000}" id="{8D6FC03B-4C4F-4C33-A515-57B9FC7ABACD}">
    <text>3900 tis. Kč investice + projekce, 800 tisíc provoz a opravy</text>
  </threadedComment>
  <threadedComment ref="C53" dT="2023-12-07T16:39:11.56" personId="{00000000-0000-0000-0000-000000000000}" id="{17EC6DEB-44B1-4700-88B2-71FEC4727E1F}">
    <text xml:space="preserve">Změna územního plánu č. 1 - standardizace
</text>
  </threadedComment>
  <threadedComment ref="F53" dT="2024-11-05T10:07:07.15" personId="{00000000-0000-0000-0000-000000000000}" id="{05B3CCA4-5C3C-433B-81AD-761B4447A434}">
    <text>Změna ÚP č. 2</text>
  </threadedComment>
  <threadedComment ref="C54" dT="2023-12-08T22:47:37.61" personId="{00000000-0000-0000-0000-000000000000}" id="{B53064D7-69BF-4AEA-9AA8-D22327D8B2DB}">
    <text xml:space="preserve">ÚS Rekreace, Dopravní vize (možná na silnice), Strategie ZŠ. </text>
  </threadedComment>
  <threadedComment ref="F54" dT="2024-11-06T13:54:35.20" personId="{00000000-0000-0000-0000-000000000000}" id="{E27D01E7-23D9-4F02-8D9E-2EB8152096C5}">
    <text xml:space="preserve">Územní studie </text>
  </threadedComment>
  <threadedComment ref="C55" dT="2023-12-07T16:37:51.26" personId="{00000000-0000-0000-0000-000000000000}" id="{8E8B9B60-7299-4DFE-BF6E-9CF6AA078D55}">
    <text>Prodej popelnice.</text>
  </threadedComment>
  <threadedComment ref="C56" dT="2023-12-08T23:47:08.89" personId="{00000000-0000-0000-0000-000000000000}" id="{C3B88C3B-03B6-43CF-A7E5-96F4226CAD9B}">
    <text xml:space="preserve">Svoz různých druhů odpadů. 
</text>
  </threadedComment>
  <threadedComment ref="C57" dT="2023-12-07T16:38:08.21" personId="{00000000-0000-0000-0000-000000000000}" id="{A7CF0E1A-8898-4F60-8C6C-BC90B1444ED9}">
    <text xml:space="preserve">Svoz komunálního odpadu vč. velkoobjemu. </text>
  </threadedComment>
  <threadedComment ref="C58" dT="2023-12-07T16:38:19.52" personId="{00000000-0000-0000-0000-000000000000}" id="{1CA0B518-B43B-4776-B4CB-34C87D812252}">
    <text xml:space="preserve">Svoz tříděného odpadu. </text>
  </threadedComment>
  <threadedComment ref="F58" dT="2024-11-06T13:57:02.18" personId="{00000000-0000-0000-0000-000000000000}" id="{11BD7A9B-C038-44D9-99DA-C970A511129E}">
    <text>Odpadový systém - VZ, nastavení</text>
  </threadedComment>
  <threadedComment ref="C59" dT="2023-12-07T16:38:38.13" personId="{00000000-0000-0000-0000-000000000000}" id="{45924EA0-7864-4739-893E-581677740AFC}">
    <text xml:space="preserve">Svoz bioodpadu.
</text>
  </threadedComment>
  <threadedComment ref="C60" dT="2023-12-07T16:37:15.09" personId="{00000000-0000-0000-0000-000000000000}" id="{3A5AF43B-E5D2-4D63-86DB-6CD9E9EBCFD7}">
    <text xml:space="preserve">Pracovní četa - 4 lidi + peníze na údržbu zeleně. 
</text>
  </threadedComment>
  <threadedComment ref="F60" dT="2024-11-06T13:50:28.66" personId="{00000000-0000-0000-0000-000000000000}" id="{D2160821-1E26-4444-B2F2-A26C02F6BE2B}">
    <text>Mírné navýšení + 300 tisíc Kč na Tereziánskou alej
+ Centra obce ABC, Rekreace - mobiliář, údržba okolí silnice na Černovičky</text>
  </threadedComment>
  <threadedComment ref="C62" dT="2023-12-07T16:36:52.02" personId="{00000000-0000-0000-0000-000000000000}" id="{72CCD739-B6D5-4CFC-8C28-C5C5CDBB2955}">
    <text xml:space="preserve">Žádala DPS Buštěhrad o dar. Dřív se připlácelo, aby přijeli. Dnes neplatíme nic. </text>
  </threadedComment>
  <threadedComment ref="C63" dT="2023-12-07T16:36:23.04" personId="{00000000-0000-0000-0000-000000000000}" id="{0F3F6B79-719C-4001-97E3-5C6FF987B757}">
    <text xml:space="preserve">Toto musí být v rozpočtu ze zákona. </text>
  </threadedComment>
  <threadedComment ref="C64" dT="2023-12-07T16:36:13.73" personId="{00000000-0000-0000-0000-000000000000}" id="{6553C2C4-6421-4A75-BE17-1CD0BA6DFE4D}">
    <text>Hasičský vozík 1 055 000 Kč + 200 tisíc Kč na provoz JSDH</text>
  </threadedComment>
  <threadedComment ref="F64" dT="2024-11-06T13:49:16.50" personId="{00000000-0000-0000-0000-000000000000}" id="{8342A129-618A-4A0B-A2B2-0441AA6F0070}">
    <text>250 tisíc cca provoz Obecního servisu, pohonné hmoty a základní materiál + 450 tisíc vč. daru letiště + 800 tisíc vrata viz investice</text>
  </threadedComment>
  <threadedComment ref="C65" dT="2023-12-07T16:35:53.87" personId="{00000000-0000-0000-0000-000000000000}" id="{1E8325A0-DCE8-4C86-A59D-E30EB4F49EA2}">
    <text xml:space="preserve">Plat starosty (udávaný nařízením vlády), plat místostarostů a odměny zastupitelům. 
</text>
  </threadedComment>
  <threadedComment ref="F65" dT="2024-11-05T10:00:45.84" personId="{00000000-0000-0000-0000-000000000000}" id="{C4375733-7D6A-4170-98B3-59BE1DB05AC7}">
    <text>Starosta + 2 místostarostové á 15 tisíc Kč +zastupitelé + daně</text>
  </threadedComment>
  <threadedComment ref="C68" dT="2023-12-07T16:34:26.14" personId="{00000000-0000-0000-0000-000000000000}" id="{0AF56209-06D2-438B-BCF9-A3036D7AFA4D}">
    <text xml:space="preserve">Činnost úřadu včetně různých poradců, úklidu úřadu, energií na úřad, zaměstnanců úřadu vč. správce majetku. 
2,666 milionu na nákup střední školy. </text>
  </threadedComment>
  <threadedComment ref="F68" dT="2024-11-06T13:47:03.60" personId="{00000000-0000-0000-0000-000000000000}" id="{EABF331F-AD73-412E-BF8B-C2813689838D}">
    <text xml:space="preserve">Provoz obecního úřadu včetně externích služeb, energií a také 2,5 mil. Kč za Areál KŠ
</text>
  </threadedComment>
  <threadedComment ref="C70" dT="2023-12-07T16:33:27.13" personId="{00000000-0000-0000-0000-000000000000}" id="{C90F87AF-9286-4CAF-BDB2-4885822019D7}">
    <text>Pojištění obce vč. ZŠ a MŠ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14" dT="2024-11-01T16:33:50.87" personId="{00000000-0000-0000-0000-000000000000}" id="{280F4F69-7E9D-4D80-9D9A-1F069DA391C3}">
    <text xml:space="preserve">Na základě září 2024.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82"/>
  <sheetViews>
    <sheetView tabSelected="1" topLeftCell="A2" zoomScaleNormal="100" workbookViewId="0">
      <selection activeCell="H9" sqref="H9:H10"/>
    </sheetView>
  </sheetViews>
  <sheetFormatPr defaultColWidth="9.1796875" defaultRowHeight="15.5" x14ac:dyDescent="0.35"/>
  <cols>
    <col min="1" max="1" width="9.26953125" style="2" customWidth="1"/>
    <col min="2" max="2" width="35.7265625" style="2" customWidth="1"/>
    <col min="3" max="6" width="14.26953125" style="2" bestFit="1" customWidth="1"/>
    <col min="7" max="7" width="20.26953125" style="59" customWidth="1"/>
    <col min="8" max="8" width="82.26953125" style="3" bestFit="1" customWidth="1"/>
    <col min="9" max="16384" width="9.1796875" style="3"/>
  </cols>
  <sheetData>
    <row r="1" spans="1:6" ht="20.149999999999999" customHeight="1" x14ac:dyDescent="0.35">
      <c r="A1" s="1"/>
      <c r="B1" s="1"/>
      <c r="C1" s="1"/>
      <c r="D1" s="1"/>
      <c r="E1" s="1"/>
    </row>
    <row r="2" spans="1:6" ht="20.149999999999999" customHeight="1" x14ac:dyDescent="0.35">
      <c r="A2" s="177" t="s">
        <v>259</v>
      </c>
      <c r="B2" s="4"/>
      <c r="C2" s="5"/>
      <c r="D2" s="5"/>
      <c r="E2" s="5"/>
    </row>
    <row r="3" spans="1:6" ht="38.5" x14ac:dyDescent="0.35">
      <c r="A3" s="23" t="s">
        <v>238</v>
      </c>
      <c r="B3" s="6"/>
      <c r="C3" s="6"/>
      <c r="D3" s="24"/>
      <c r="E3" s="6"/>
    </row>
    <row r="4" spans="1:6" x14ac:dyDescent="0.35">
      <c r="A4" s="5" t="s">
        <v>0</v>
      </c>
      <c r="B4" s="7"/>
      <c r="C4" s="25" t="s">
        <v>84</v>
      </c>
      <c r="D4" s="7"/>
      <c r="E4" s="7"/>
    </row>
    <row r="5" spans="1:6" ht="23" thickBot="1" x14ac:dyDescent="0.35">
      <c r="A5" s="35" t="s">
        <v>260</v>
      </c>
      <c r="B5" s="8"/>
      <c r="C5" s="8"/>
      <c r="D5" s="8"/>
      <c r="E5" s="8"/>
      <c r="F5" s="8"/>
    </row>
    <row r="6" spans="1:6" ht="30.5" thickBot="1" x14ac:dyDescent="0.35">
      <c r="A6" s="12" t="s">
        <v>81</v>
      </c>
      <c r="B6" s="18" t="s">
        <v>1</v>
      </c>
      <c r="C6" s="22" t="s">
        <v>176</v>
      </c>
      <c r="D6" s="13" t="s">
        <v>177</v>
      </c>
      <c r="E6" s="33" t="s">
        <v>178</v>
      </c>
      <c r="F6" s="34" t="s">
        <v>179</v>
      </c>
    </row>
    <row r="7" spans="1:6" x14ac:dyDescent="0.3">
      <c r="A7" s="16"/>
      <c r="B7" s="19" t="s">
        <v>2</v>
      </c>
      <c r="C7" s="100">
        <v>32000000</v>
      </c>
      <c r="D7" s="17">
        <v>34594471.700000003</v>
      </c>
      <c r="E7" s="28">
        <v>27032380.030000001</v>
      </c>
      <c r="F7" s="30">
        <f>29844471.1113381*1.05+1030000+974875+20333*12</f>
        <v>33585565.666905008</v>
      </c>
    </row>
    <row r="8" spans="1:6" x14ac:dyDescent="0.3">
      <c r="A8" s="9" t="s">
        <v>5</v>
      </c>
      <c r="B8" s="20" t="s">
        <v>6</v>
      </c>
      <c r="C8" s="101">
        <f>53216/1920*1720</f>
        <v>47672.666666666664</v>
      </c>
      <c r="D8" s="10">
        <v>47673</v>
      </c>
      <c r="E8" s="99">
        <v>8098.76</v>
      </c>
      <c r="F8" s="31">
        <v>47673</v>
      </c>
    </row>
    <row r="9" spans="1:6" ht="31" x14ac:dyDescent="0.3">
      <c r="A9" s="9" t="s">
        <v>7</v>
      </c>
      <c r="B9" s="20" t="s">
        <v>8</v>
      </c>
      <c r="C9" s="101">
        <f>361936/1920*1720</f>
        <v>324234.33333333331</v>
      </c>
      <c r="D9" s="10">
        <v>262234</v>
      </c>
      <c r="E9" s="99">
        <v>169191.96</v>
      </c>
      <c r="F9" s="31">
        <v>262234</v>
      </c>
    </row>
    <row r="10" spans="1:6" x14ac:dyDescent="0.3">
      <c r="A10" s="9" t="s">
        <v>9</v>
      </c>
      <c r="B10" s="20" t="s">
        <v>10</v>
      </c>
      <c r="C10" s="101">
        <v>10000</v>
      </c>
      <c r="D10" s="10">
        <v>10000</v>
      </c>
      <c r="E10" s="29">
        <v>0</v>
      </c>
      <c r="F10" s="31">
        <v>12000</v>
      </c>
    </row>
    <row r="11" spans="1:6" x14ac:dyDescent="0.3">
      <c r="A11" s="90">
        <v>3111</v>
      </c>
      <c r="B11" s="20" t="s">
        <v>42</v>
      </c>
      <c r="C11" s="101">
        <v>0</v>
      </c>
      <c r="D11" s="10">
        <v>17316</v>
      </c>
      <c r="E11" s="29">
        <v>17316</v>
      </c>
      <c r="F11" s="31">
        <v>0</v>
      </c>
    </row>
    <row r="12" spans="1:6" x14ac:dyDescent="0.35">
      <c r="A12" s="90">
        <v>3113</v>
      </c>
      <c r="B12" s="9" t="s">
        <v>44</v>
      </c>
      <c r="C12" s="101">
        <v>0</v>
      </c>
      <c r="D12" s="10">
        <v>48902</v>
      </c>
      <c r="E12" s="29">
        <v>83476</v>
      </c>
      <c r="F12" s="98">
        <v>0</v>
      </c>
    </row>
    <row r="13" spans="1:6" x14ac:dyDescent="0.3">
      <c r="A13" s="9" t="s">
        <v>11</v>
      </c>
      <c r="B13" s="20" t="s">
        <v>12</v>
      </c>
      <c r="C13" s="101">
        <v>4500</v>
      </c>
      <c r="D13" s="10">
        <v>4500</v>
      </c>
      <c r="E13" s="29">
        <v>5600</v>
      </c>
      <c r="F13" s="31">
        <v>6000</v>
      </c>
    </row>
    <row r="14" spans="1:6" x14ac:dyDescent="0.3">
      <c r="A14" s="9" t="s">
        <v>13</v>
      </c>
      <c r="B14" s="20" t="s">
        <v>14</v>
      </c>
      <c r="C14" s="101">
        <v>80000</v>
      </c>
      <c r="D14" s="10">
        <v>106000</v>
      </c>
      <c r="E14" s="29">
        <v>96600</v>
      </c>
      <c r="F14" s="31">
        <v>106000</v>
      </c>
    </row>
    <row r="15" spans="1:6" x14ac:dyDescent="0.3">
      <c r="A15" s="9" t="s">
        <v>15</v>
      </c>
      <c r="B15" s="20" t="s">
        <v>16</v>
      </c>
      <c r="C15" s="101">
        <v>1000000</v>
      </c>
      <c r="D15" s="10">
        <v>1247000</v>
      </c>
      <c r="E15" s="29">
        <v>1295313.99</v>
      </c>
      <c r="F15" s="31">
        <v>1300000</v>
      </c>
    </row>
    <row r="16" spans="1:6" x14ac:dyDescent="0.3">
      <c r="A16" s="90">
        <v>3613</v>
      </c>
      <c r="B16" s="20" t="s">
        <v>180</v>
      </c>
      <c r="C16" s="101">
        <v>0</v>
      </c>
      <c r="D16" s="10">
        <v>37150</v>
      </c>
      <c r="E16" s="29">
        <v>124050</v>
      </c>
      <c r="F16" s="31">
        <f>15000*12</f>
        <v>180000</v>
      </c>
    </row>
    <row r="17" spans="1:6" x14ac:dyDescent="0.3">
      <c r="A17" s="90">
        <v>3631</v>
      </c>
      <c r="B17" s="20" t="s">
        <v>60</v>
      </c>
      <c r="C17" s="101">
        <v>0</v>
      </c>
      <c r="D17" s="10">
        <v>70590</v>
      </c>
      <c r="E17" s="29">
        <v>70590</v>
      </c>
      <c r="F17" s="31">
        <v>0</v>
      </c>
    </row>
    <row r="18" spans="1:6" ht="31" x14ac:dyDescent="0.3">
      <c r="A18" s="9" t="s">
        <v>17</v>
      </c>
      <c r="B18" s="20" t="s">
        <v>18</v>
      </c>
      <c r="C18" s="101">
        <v>10000</v>
      </c>
      <c r="D18" s="10">
        <v>32400</v>
      </c>
      <c r="E18" s="29">
        <v>22400</v>
      </c>
      <c r="F18" s="31">
        <v>10000</v>
      </c>
    </row>
    <row r="19" spans="1:6" x14ac:dyDescent="0.3">
      <c r="A19" s="9" t="s">
        <v>19</v>
      </c>
      <c r="B19" s="20" t="s">
        <v>20</v>
      </c>
      <c r="C19" s="101">
        <v>5000</v>
      </c>
      <c r="D19" s="10">
        <v>5000</v>
      </c>
      <c r="E19" s="29">
        <v>3624</v>
      </c>
      <c r="F19" s="31">
        <v>5000</v>
      </c>
    </row>
    <row r="20" spans="1:6" ht="31" x14ac:dyDescent="0.3">
      <c r="A20" s="9" t="s">
        <v>21</v>
      </c>
      <c r="B20" s="20" t="s">
        <v>22</v>
      </c>
      <c r="C20" s="101">
        <v>270000</v>
      </c>
      <c r="D20" s="10">
        <v>270000</v>
      </c>
      <c r="E20" s="29">
        <v>261710.5</v>
      </c>
      <c r="F20" s="31">
        <v>270000</v>
      </c>
    </row>
    <row r="21" spans="1:6" x14ac:dyDescent="0.3">
      <c r="A21" s="9" t="s">
        <v>23</v>
      </c>
      <c r="B21" s="20" t="s">
        <v>24</v>
      </c>
      <c r="C21" s="101">
        <v>122000</v>
      </c>
      <c r="D21" s="10">
        <v>122000</v>
      </c>
      <c r="E21" s="29">
        <v>74400</v>
      </c>
      <c r="F21" s="31">
        <v>80000</v>
      </c>
    </row>
    <row r="22" spans="1:6" x14ac:dyDescent="0.3">
      <c r="A22" s="9" t="s">
        <v>25</v>
      </c>
      <c r="B22" s="20" t="s">
        <v>26</v>
      </c>
      <c r="C22" s="101">
        <v>0</v>
      </c>
      <c r="D22" s="10">
        <v>50000</v>
      </c>
      <c r="E22" s="29">
        <v>50000</v>
      </c>
      <c r="F22" s="31">
        <v>0</v>
      </c>
    </row>
    <row r="23" spans="1:6" x14ac:dyDescent="0.3">
      <c r="A23" s="90">
        <v>5512</v>
      </c>
      <c r="B23" s="20" t="s">
        <v>76</v>
      </c>
      <c r="C23" s="101">
        <v>0</v>
      </c>
      <c r="D23" s="10">
        <v>5600</v>
      </c>
      <c r="E23" s="29">
        <v>5600</v>
      </c>
      <c r="F23" s="31">
        <v>0</v>
      </c>
    </row>
    <row r="24" spans="1:6" x14ac:dyDescent="0.3">
      <c r="A24" s="9" t="s">
        <v>27</v>
      </c>
      <c r="B24" s="20" t="s">
        <v>28</v>
      </c>
      <c r="C24" s="101">
        <v>200000</v>
      </c>
      <c r="D24" s="10">
        <v>595262</v>
      </c>
      <c r="E24" s="29">
        <v>743787.24</v>
      </c>
      <c r="F24" s="31">
        <v>800000</v>
      </c>
    </row>
    <row r="25" spans="1:6" x14ac:dyDescent="0.3">
      <c r="A25" s="9" t="s">
        <v>29</v>
      </c>
      <c r="B25" s="20" t="s">
        <v>30</v>
      </c>
      <c r="C25" s="101">
        <v>0</v>
      </c>
      <c r="D25" s="10">
        <v>0</v>
      </c>
      <c r="E25" s="29">
        <v>0</v>
      </c>
      <c r="F25" s="31">
        <v>0</v>
      </c>
    </row>
    <row r="26" spans="1:6" ht="16" thickBot="1" x14ac:dyDescent="0.35">
      <c r="A26" s="9" t="s">
        <v>31</v>
      </c>
      <c r="B26" s="20" t="s">
        <v>32</v>
      </c>
      <c r="C26" s="173">
        <v>0</v>
      </c>
      <c r="D26" s="10">
        <v>0</v>
      </c>
      <c r="E26" s="29">
        <v>0</v>
      </c>
      <c r="F26" s="31">
        <v>0</v>
      </c>
    </row>
    <row r="27" spans="1:6" thickBot="1" x14ac:dyDescent="0.35">
      <c r="A27" s="14" t="s">
        <v>85</v>
      </c>
      <c r="B27" s="21"/>
      <c r="C27" s="50">
        <f>SUM(C7:C26)</f>
        <v>34073407</v>
      </c>
      <c r="D27" s="15">
        <f>SUM(D7:D26)</f>
        <v>37526098.700000003</v>
      </c>
      <c r="E27" s="21">
        <f>SUM(E7:E26)</f>
        <v>30064138.48</v>
      </c>
      <c r="F27" s="32">
        <f>SUM(F7:F26)</f>
        <v>36664472.666905008</v>
      </c>
    </row>
    <row r="28" spans="1:6" ht="1" customHeight="1" x14ac:dyDescent="0.35">
      <c r="A28" s="11"/>
      <c r="B28" s="11"/>
      <c r="C28" s="1"/>
      <c r="D28" s="1"/>
      <c r="E28" s="1"/>
    </row>
    <row r="29" spans="1:6" x14ac:dyDescent="0.35">
      <c r="A29" s="1"/>
      <c r="B29" s="1"/>
      <c r="C29" s="1"/>
      <c r="D29" s="1"/>
      <c r="E29" s="1"/>
    </row>
    <row r="30" spans="1:6" ht="23" thickBot="1" x14ac:dyDescent="0.35">
      <c r="A30" s="35" t="s">
        <v>256</v>
      </c>
      <c r="B30" s="8"/>
      <c r="C30" s="8"/>
      <c r="D30" s="8"/>
      <c r="E30" s="8"/>
      <c r="F30" s="8"/>
    </row>
    <row r="31" spans="1:6" ht="30.5" thickBot="1" x14ac:dyDescent="0.35">
      <c r="A31" s="26" t="s">
        <v>81</v>
      </c>
      <c r="B31" s="27" t="s">
        <v>1</v>
      </c>
      <c r="C31" s="22" t="s">
        <v>176</v>
      </c>
      <c r="D31" s="13" t="s">
        <v>177</v>
      </c>
      <c r="E31" s="33" t="s">
        <v>178</v>
      </c>
      <c r="F31" s="34" t="s">
        <v>179</v>
      </c>
    </row>
    <row r="32" spans="1:6" ht="46.5" x14ac:dyDescent="0.3">
      <c r="A32" s="16" t="s">
        <v>33</v>
      </c>
      <c r="B32" s="19" t="s">
        <v>34</v>
      </c>
      <c r="C32" s="100">
        <v>10000</v>
      </c>
      <c r="D32" s="17">
        <v>10000</v>
      </c>
      <c r="E32" s="28">
        <v>9860</v>
      </c>
      <c r="F32" s="30">
        <v>15000</v>
      </c>
    </row>
    <row r="33" spans="1:6" x14ac:dyDescent="0.3">
      <c r="A33" s="9" t="s">
        <v>35</v>
      </c>
      <c r="B33" s="20" t="s">
        <v>36</v>
      </c>
      <c r="C33" s="101">
        <f>600000+353320</f>
        <v>953320</v>
      </c>
      <c r="D33" s="10">
        <v>953320</v>
      </c>
      <c r="E33" s="29">
        <v>471972.6</v>
      </c>
      <c r="F33" s="31">
        <v>500000</v>
      </c>
    </row>
    <row r="34" spans="1:6" ht="31" x14ac:dyDescent="0.3">
      <c r="A34" s="9" t="s">
        <v>3</v>
      </c>
      <c r="B34" s="20" t="s">
        <v>4</v>
      </c>
      <c r="C34" s="101">
        <v>1000000</v>
      </c>
      <c r="D34" s="10">
        <v>630000</v>
      </c>
      <c r="E34" s="29">
        <v>229315.57</v>
      </c>
      <c r="F34" s="31">
        <v>700000</v>
      </c>
    </row>
    <row r="35" spans="1:6" x14ac:dyDescent="0.3">
      <c r="A35" s="9" t="s">
        <v>37</v>
      </c>
      <c r="B35" s="20" t="s">
        <v>38</v>
      </c>
      <c r="C35" s="101">
        <v>100000</v>
      </c>
      <c r="D35" s="10">
        <v>470000</v>
      </c>
      <c r="E35" s="29">
        <v>365053.37</v>
      </c>
      <c r="F35" s="31">
        <v>0</v>
      </c>
    </row>
    <row r="36" spans="1:6" ht="31" x14ac:dyDescent="0.3">
      <c r="A36" s="9" t="s">
        <v>39</v>
      </c>
      <c r="B36" s="20" t="s">
        <v>40</v>
      </c>
      <c r="C36" s="101">
        <v>120000</v>
      </c>
      <c r="D36" s="10">
        <v>120000</v>
      </c>
      <c r="E36" s="29">
        <v>88458</v>
      </c>
      <c r="F36" s="31">
        <v>130000</v>
      </c>
    </row>
    <row r="37" spans="1:6" x14ac:dyDescent="0.3">
      <c r="A37" s="9" t="s">
        <v>5</v>
      </c>
      <c r="B37" s="20" t="s">
        <v>6</v>
      </c>
      <c r="C37" s="101">
        <f>764000+50000</f>
        <v>814000</v>
      </c>
      <c r="D37" s="10">
        <v>814000</v>
      </c>
      <c r="E37" s="29">
        <v>43016.71</v>
      </c>
      <c r="F37" s="31">
        <v>1200000</v>
      </c>
    </row>
    <row r="38" spans="1:6" ht="31" x14ac:dyDescent="0.3">
      <c r="A38" s="9" t="s">
        <v>7</v>
      </c>
      <c r="B38" s="20" t="s">
        <v>8</v>
      </c>
      <c r="C38" s="101">
        <f>3312000+50000-800000</f>
        <v>2562000</v>
      </c>
      <c r="D38" s="10">
        <v>3718544</v>
      </c>
      <c r="E38" s="29">
        <v>102382.19</v>
      </c>
      <c r="F38" s="31">
        <v>2600000</v>
      </c>
    </row>
    <row r="39" spans="1:6" x14ac:dyDescent="0.3">
      <c r="A39" s="9" t="s">
        <v>9</v>
      </c>
      <c r="B39" s="20" t="s">
        <v>10</v>
      </c>
      <c r="C39" s="101">
        <v>0</v>
      </c>
      <c r="D39" s="10">
        <v>0</v>
      </c>
      <c r="E39" s="29">
        <v>0</v>
      </c>
      <c r="F39" s="31">
        <v>50000</v>
      </c>
    </row>
    <row r="40" spans="1:6" x14ac:dyDescent="0.3">
      <c r="A40" s="9" t="s">
        <v>41</v>
      </c>
      <c r="B40" s="20" t="s">
        <v>42</v>
      </c>
      <c r="C40" s="101">
        <v>1400000</v>
      </c>
      <c r="D40" s="10">
        <v>1300000</v>
      </c>
      <c r="E40" s="29">
        <v>1300000</v>
      </c>
      <c r="F40" s="31">
        <v>1400000</v>
      </c>
    </row>
    <row r="41" spans="1:6" x14ac:dyDescent="0.3">
      <c r="A41" s="9" t="s">
        <v>43</v>
      </c>
      <c r="B41" s="20" t="s">
        <v>44</v>
      </c>
      <c r="C41" s="101">
        <f>4500000+770000+1200000+414486+150000</f>
        <v>7034486</v>
      </c>
      <c r="D41" s="10">
        <v>10314604</v>
      </c>
      <c r="E41" s="29">
        <v>10162717.1</v>
      </c>
      <c r="F41" s="31">
        <f>3000000+3450000</f>
        <v>6450000</v>
      </c>
    </row>
    <row r="42" spans="1:6" x14ac:dyDescent="0.3">
      <c r="A42" s="9" t="s">
        <v>11</v>
      </c>
      <c r="B42" s="20" t="s">
        <v>12</v>
      </c>
      <c r="C42" s="101">
        <v>6000</v>
      </c>
      <c r="D42" s="10">
        <v>6000</v>
      </c>
      <c r="E42" s="29">
        <v>4000</v>
      </c>
      <c r="F42" s="31">
        <v>6000</v>
      </c>
    </row>
    <row r="43" spans="1:6" x14ac:dyDescent="0.3">
      <c r="A43" s="9" t="s">
        <v>45</v>
      </c>
      <c r="B43" s="20" t="s">
        <v>46</v>
      </c>
      <c r="C43" s="101">
        <v>40000</v>
      </c>
      <c r="D43" s="10">
        <v>28300</v>
      </c>
      <c r="E43" s="29">
        <v>0</v>
      </c>
      <c r="F43" s="31">
        <v>40000</v>
      </c>
    </row>
    <row r="44" spans="1:6" ht="46.5" x14ac:dyDescent="0.3">
      <c r="A44" s="9" t="s">
        <v>47</v>
      </c>
      <c r="B44" s="20" t="s">
        <v>48</v>
      </c>
      <c r="C44" s="101">
        <v>0</v>
      </c>
      <c r="D44" s="10">
        <v>0</v>
      </c>
      <c r="E44" s="29">
        <v>0</v>
      </c>
      <c r="F44" s="31">
        <v>0</v>
      </c>
    </row>
    <row r="45" spans="1:6" ht="31" x14ac:dyDescent="0.3">
      <c r="A45" s="9" t="s">
        <v>49</v>
      </c>
      <c r="B45" s="20" t="s">
        <v>50</v>
      </c>
      <c r="C45" s="101">
        <v>100000</v>
      </c>
      <c r="D45" s="10">
        <v>100000</v>
      </c>
      <c r="E45" s="29">
        <v>65207.519999999997</v>
      </c>
      <c r="F45" s="31">
        <v>100000</v>
      </c>
    </row>
    <row r="46" spans="1:6" ht="31" x14ac:dyDescent="0.3">
      <c r="A46" s="9" t="s">
        <v>51</v>
      </c>
      <c r="B46" s="20" t="s">
        <v>52</v>
      </c>
      <c r="C46" s="101">
        <v>100000</v>
      </c>
      <c r="D46" s="10">
        <v>115000</v>
      </c>
      <c r="E46" s="29">
        <v>111204.16</v>
      </c>
      <c r="F46" s="31">
        <v>140000</v>
      </c>
    </row>
    <row r="47" spans="1:6" x14ac:dyDescent="0.3">
      <c r="A47" s="9" t="s">
        <v>53</v>
      </c>
      <c r="B47" s="20" t="s">
        <v>54</v>
      </c>
      <c r="C47" s="101">
        <v>30000</v>
      </c>
      <c r="D47" s="10">
        <v>77597</v>
      </c>
      <c r="E47" s="29">
        <v>77441.06</v>
      </c>
      <c r="F47" s="31">
        <v>30000</v>
      </c>
    </row>
    <row r="48" spans="1:6" x14ac:dyDescent="0.3">
      <c r="A48" s="9" t="s">
        <v>55</v>
      </c>
      <c r="B48" s="20" t="s">
        <v>56</v>
      </c>
      <c r="C48" s="101">
        <v>300000</v>
      </c>
      <c r="D48" s="10">
        <v>400000</v>
      </c>
      <c r="E48" s="29">
        <v>364534.82</v>
      </c>
      <c r="F48" s="31">
        <v>400000</v>
      </c>
    </row>
    <row r="49" spans="1:13" x14ac:dyDescent="0.3">
      <c r="A49" s="9" t="s">
        <v>57</v>
      </c>
      <c r="B49" s="20" t="s">
        <v>58</v>
      </c>
      <c r="C49" s="101">
        <v>50000</v>
      </c>
      <c r="D49" s="10">
        <v>50000</v>
      </c>
      <c r="E49" s="29">
        <v>50000</v>
      </c>
      <c r="F49" s="31">
        <v>50</v>
      </c>
      <c r="M49" s="36"/>
    </row>
    <row r="50" spans="1:13" x14ac:dyDescent="0.3">
      <c r="A50" s="9" t="s">
        <v>13</v>
      </c>
      <c r="B50" s="20" t="s">
        <v>14</v>
      </c>
      <c r="C50" s="101">
        <v>300000</v>
      </c>
      <c r="D50" s="10">
        <v>300000</v>
      </c>
      <c r="E50" s="29">
        <v>305581.14</v>
      </c>
      <c r="F50" s="31">
        <v>300000</v>
      </c>
    </row>
    <row r="51" spans="1:13" x14ac:dyDescent="0.3">
      <c r="A51" s="9" t="s">
        <v>15</v>
      </c>
      <c r="B51" s="20" t="s">
        <v>16</v>
      </c>
      <c r="C51" s="101">
        <v>800000</v>
      </c>
      <c r="D51" s="10">
        <v>1155754</v>
      </c>
      <c r="E51" s="29">
        <v>1163563.83</v>
      </c>
      <c r="F51" s="31">
        <v>1700000</v>
      </c>
    </row>
    <row r="52" spans="1:13" x14ac:dyDescent="0.3">
      <c r="A52" s="9" t="s">
        <v>59</v>
      </c>
      <c r="B52" s="20" t="s">
        <v>60</v>
      </c>
      <c r="C52" s="101">
        <f>350000+4620000</f>
        <v>4970000</v>
      </c>
      <c r="D52" s="10">
        <v>3075836</v>
      </c>
      <c r="E52" s="29">
        <v>1030244.11</v>
      </c>
      <c r="F52" s="31">
        <v>5300000</v>
      </c>
    </row>
    <row r="53" spans="1:13" x14ac:dyDescent="0.3">
      <c r="A53" s="9" t="s">
        <v>61</v>
      </c>
      <c r="B53" s="20" t="s">
        <v>62</v>
      </c>
      <c r="C53" s="101">
        <v>230000</v>
      </c>
      <c r="D53" s="10">
        <v>311144</v>
      </c>
      <c r="E53" s="29">
        <v>298144</v>
      </c>
      <c r="F53" s="31">
        <v>300000</v>
      </c>
    </row>
    <row r="54" spans="1:13" x14ac:dyDescent="0.3">
      <c r="A54" s="9" t="s">
        <v>63</v>
      </c>
      <c r="B54" s="20" t="s">
        <v>64</v>
      </c>
      <c r="C54" s="101">
        <v>2000000</v>
      </c>
      <c r="D54" s="10">
        <v>1918856</v>
      </c>
      <c r="E54" s="29">
        <v>1198308.05</v>
      </c>
      <c r="F54" s="31">
        <v>800000</v>
      </c>
    </row>
    <row r="55" spans="1:13" ht="31" x14ac:dyDescent="0.3">
      <c r="A55" s="9" t="s">
        <v>17</v>
      </c>
      <c r="B55" s="20" t="s">
        <v>18</v>
      </c>
      <c r="C55" s="101">
        <v>5000</v>
      </c>
      <c r="D55" s="10">
        <v>5000</v>
      </c>
      <c r="E55" s="29">
        <v>0</v>
      </c>
      <c r="F55" s="31">
        <v>5000</v>
      </c>
    </row>
    <row r="56" spans="1:13" x14ac:dyDescent="0.3">
      <c r="A56" s="9" t="s">
        <v>65</v>
      </c>
      <c r="B56" s="20" t="s">
        <v>66</v>
      </c>
      <c r="C56" s="101">
        <v>275783</v>
      </c>
      <c r="D56" s="10">
        <v>275783</v>
      </c>
      <c r="E56" s="29">
        <v>46343</v>
      </c>
      <c r="F56" s="31">
        <v>150000</v>
      </c>
    </row>
    <row r="57" spans="1:13" x14ac:dyDescent="0.3">
      <c r="A57" s="9" t="s">
        <v>19</v>
      </c>
      <c r="B57" s="20" t="s">
        <v>20</v>
      </c>
      <c r="C57" s="101">
        <f>(117116+1153241.54)*1.18</f>
        <v>1499021.8972</v>
      </c>
      <c r="D57" s="10">
        <v>1499022</v>
      </c>
      <c r="E57" s="29">
        <v>1312153.74</v>
      </c>
      <c r="F57" s="31">
        <v>1600000</v>
      </c>
    </row>
    <row r="58" spans="1:13" ht="31" x14ac:dyDescent="0.3">
      <c r="A58" s="9" t="s">
        <v>67</v>
      </c>
      <c r="B58" s="20" t="s">
        <v>68</v>
      </c>
      <c r="C58" s="101">
        <f>701423.06*1.18</f>
        <v>827679.2108</v>
      </c>
      <c r="D58" s="10">
        <v>827679</v>
      </c>
      <c r="E58" s="29">
        <v>707430.09</v>
      </c>
      <c r="F58" s="31">
        <f>830000+200000</f>
        <v>1030000</v>
      </c>
    </row>
    <row r="59" spans="1:13" ht="31" x14ac:dyDescent="0.3">
      <c r="A59" s="9" t="s">
        <v>21</v>
      </c>
      <c r="B59" s="20" t="s">
        <v>22</v>
      </c>
      <c r="C59" s="101">
        <f>236823*1.18</f>
        <v>279451.14</v>
      </c>
      <c r="D59" s="10">
        <v>279451</v>
      </c>
      <c r="E59" s="29">
        <v>222892.34</v>
      </c>
      <c r="F59" s="31">
        <v>300000</v>
      </c>
    </row>
    <row r="60" spans="1:13" x14ac:dyDescent="0.3">
      <c r="A60" s="9" t="s">
        <v>25</v>
      </c>
      <c r="B60" s="20" t="s">
        <v>26</v>
      </c>
      <c r="C60" s="101">
        <v>3000000</v>
      </c>
      <c r="D60" s="10">
        <v>3352352</v>
      </c>
      <c r="E60" s="29">
        <v>2542728.0499999998</v>
      </c>
      <c r="F60" s="31">
        <f>5000000+3000000+3000000</f>
        <v>11000000</v>
      </c>
    </row>
    <row r="61" spans="1:13" ht="31" x14ac:dyDescent="0.3">
      <c r="A61" s="9" t="s">
        <v>69</v>
      </c>
      <c r="B61" s="20" t="s">
        <v>70</v>
      </c>
      <c r="C61" s="101">
        <v>0</v>
      </c>
      <c r="D61" s="10">
        <v>0</v>
      </c>
      <c r="E61" s="29">
        <v>0</v>
      </c>
      <c r="F61" s="31">
        <v>0</v>
      </c>
    </row>
    <row r="62" spans="1:13" ht="31" x14ac:dyDescent="0.3">
      <c r="A62" s="9" t="s">
        <v>71</v>
      </c>
      <c r="B62" s="20" t="s">
        <v>72</v>
      </c>
      <c r="C62" s="101">
        <v>0</v>
      </c>
      <c r="D62" s="10">
        <v>0</v>
      </c>
      <c r="E62" s="29">
        <v>0</v>
      </c>
      <c r="F62" s="31">
        <v>0</v>
      </c>
    </row>
    <row r="63" spans="1:13" x14ac:dyDescent="0.3">
      <c r="A63" s="9" t="s">
        <v>73</v>
      </c>
      <c r="B63" s="20" t="s">
        <v>74</v>
      </c>
      <c r="C63" s="101">
        <v>30000</v>
      </c>
      <c r="D63" s="10">
        <v>30000</v>
      </c>
      <c r="E63" s="29">
        <v>0</v>
      </c>
      <c r="F63" s="31">
        <v>30000</v>
      </c>
    </row>
    <row r="64" spans="1:13" x14ac:dyDescent="0.3">
      <c r="A64" s="9" t="s">
        <v>75</v>
      </c>
      <c r="B64" s="20" t="s">
        <v>76</v>
      </c>
      <c r="C64" s="101">
        <f>1055000+200000</f>
        <v>1255000</v>
      </c>
      <c r="D64" s="10">
        <v>2366579</v>
      </c>
      <c r="E64" s="29">
        <v>1726235.01</v>
      </c>
      <c r="F64" s="31">
        <f>450000+800000+300000</f>
        <v>1550000</v>
      </c>
    </row>
    <row r="65" spans="1:8" x14ac:dyDescent="0.3">
      <c r="A65" s="9" t="s">
        <v>77</v>
      </c>
      <c r="B65" s="20" t="s">
        <v>78</v>
      </c>
      <c r="C65" s="101">
        <v>1500000</v>
      </c>
      <c r="D65" s="10">
        <v>1500000</v>
      </c>
      <c r="E65" s="29">
        <v>1246870</v>
      </c>
      <c r="F65" s="31">
        <v>1700000</v>
      </c>
    </row>
    <row r="66" spans="1:8" ht="31" x14ac:dyDescent="0.3">
      <c r="A66" s="90">
        <v>6115</v>
      </c>
      <c r="B66" s="20" t="s">
        <v>181</v>
      </c>
      <c r="C66" s="101">
        <v>0</v>
      </c>
      <c r="D66" s="10">
        <v>31500</v>
      </c>
      <c r="E66" s="29">
        <v>22239.08</v>
      </c>
      <c r="F66" s="31">
        <v>0</v>
      </c>
    </row>
    <row r="67" spans="1:8" x14ac:dyDescent="0.3">
      <c r="A67" s="90">
        <v>6117</v>
      </c>
      <c r="B67" s="20" t="s">
        <v>182</v>
      </c>
      <c r="C67" s="101">
        <v>0</v>
      </c>
      <c r="D67" s="10">
        <v>32000</v>
      </c>
      <c r="E67" s="29">
        <v>30354</v>
      </c>
      <c r="F67" s="31">
        <v>0</v>
      </c>
    </row>
    <row r="68" spans="1:8" x14ac:dyDescent="0.3">
      <c r="A68" s="9" t="s">
        <v>27</v>
      </c>
      <c r="B68" s="20" t="s">
        <v>28</v>
      </c>
      <c r="C68" s="101">
        <f>5000000+2813333+500000</f>
        <v>8313333</v>
      </c>
      <c r="D68" s="10">
        <v>8506210</v>
      </c>
      <c r="E68" s="29">
        <v>5011964.91</v>
      </c>
      <c r="F68" s="31">
        <v>8500000</v>
      </c>
    </row>
    <row r="69" spans="1:8" x14ac:dyDescent="0.3">
      <c r="A69" s="9" t="s">
        <v>29</v>
      </c>
      <c r="B69" s="20" t="s">
        <v>30</v>
      </c>
      <c r="C69" s="101">
        <v>0</v>
      </c>
      <c r="D69" s="10">
        <v>0</v>
      </c>
      <c r="E69" s="29">
        <v>0</v>
      </c>
      <c r="F69" s="31">
        <v>0</v>
      </c>
    </row>
    <row r="70" spans="1:8" x14ac:dyDescent="0.3">
      <c r="A70" s="9" t="s">
        <v>79</v>
      </c>
      <c r="B70" s="20" t="s">
        <v>80</v>
      </c>
      <c r="C70" s="101">
        <v>400000</v>
      </c>
      <c r="D70" s="10">
        <v>472204</v>
      </c>
      <c r="E70" s="29">
        <v>472204</v>
      </c>
      <c r="F70" s="31">
        <v>480000</v>
      </c>
    </row>
    <row r="71" spans="1:8" x14ac:dyDescent="0.3">
      <c r="A71" s="91" t="s">
        <v>31</v>
      </c>
      <c r="B71" s="92" t="s">
        <v>32</v>
      </c>
      <c r="C71" s="102">
        <v>0</v>
      </c>
      <c r="D71" s="93">
        <v>0</v>
      </c>
      <c r="E71" s="94">
        <v>0</v>
      </c>
      <c r="F71" s="95">
        <v>0</v>
      </c>
    </row>
    <row r="72" spans="1:8" ht="15" x14ac:dyDescent="0.3">
      <c r="A72" s="96" t="s">
        <v>86</v>
      </c>
      <c r="B72" s="96"/>
      <c r="C72" s="97">
        <f>SUM(C32:C71)</f>
        <v>40305074.247999996</v>
      </c>
      <c r="D72" s="96">
        <f>SUM(D32:D71)</f>
        <v>45046735</v>
      </c>
      <c r="E72" s="96">
        <f>SUM(E32:E71)</f>
        <v>30782418.449999999</v>
      </c>
      <c r="F72" s="96">
        <f>SUM(F32:F71)</f>
        <v>48506050</v>
      </c>
    </row>
    <row r="73" spans="1:8" ht="15" x14ac:dyDescent="0.3">
      <c r="A73" s="182"/>
      <c r="B73" s="183"/>
      <c r="C73" s="97"/>
      <c r="D73" s="96"/>
      <c r="E73" s="96"/>
      <c r="F73" s="96"/>
    </row>
    <row r="74" spans="1:8" ht="15" x14ac:dyDescent="0.3">
      <c r="A74" s="179" t="s">
        <v>88</v>
      </c>
      <c r="B74" s="179"/>
      <c r="C74" s="97">
        <f>C72</f>
        <v>40305074.247999996</v>
      </c>
      <c r="D74" s="97">
        <f t="shared" ref="D74:F74" si="0">D72</f>
        <v>45046735</v>
      </c>
      <c r="E74" s="97">
        <f t="shared" si="0"/>
        <v>30782418.449999999</v>
      </c>
      <c r="F74" s="97">
        <f t="shared" si="0"/>
        <v>48506050</v>
      </c>
    </row>
    <row r="75" spans="1:8" ht="15" x14ac:dyDescent="0.3">
      <c r="A75" s="178" t="s">
        <v>87</v>
      </c>
      <c r="B75" s="178"/>
      <c r="C75" s="97">
        <f>C27</f>
        <v>34073407</v>
      </c>
      <c r="D75" s="97">
        <f t="shared" ref="D75:F75" si="1">D27</f>
        <v>37526098.700000003</v>
      </c>
      <c r="E75" s="97">
        <f t="shared" si="1"/>
        <v>30064138.48</v>
      </c>
      <c r="F75" s="97">
        <f t="shared" si="1"/>
        <v>36664472.666905008</v>
      </c>
    </row>
    <row r="76" spans="1:8" ht="15" x14ac:dyDescent="0.3">
      <c r="A76" s="180" t="s">
        <v>82</v>
      </c>
      <c r="B76" s="181"/>
      <c r="C76" s="97">
        <f>C74-C75</f>
        <v>6231667.2479999959</v>
      </c>
      <c r="D76" s="97">
        <f t="shared" ref="D76:F76" si="2">D74-D75</f>
        <v>7520636.299999997</v>
      </c>
      <c r="E76" s="97">
        <f t="shared" si="2"/>
        <v>718279.96999999881</v>
      </c>
      <c r="F76" s="97">
        <f t="shared" si="2"/>
        <v>11841577.333094992</v>
      </c>
    </row>
    <row r="77" spans="1:8" x14ac:dyDescent="0.35">
      <c r="A77" s="2" t="s">
        <v>83</v>
      </c>
      <c r="H77" s="60"/>
    </row>
    <row r="79" spans="1:8" x14ac:dyDescent="0.35">
      <c r="A79" s="2" t="s">
        <v>257</v>
      </c>
      <c r="C79" s="2" t="s">
        <v>258</v>
      </c>
    </row>
    <row r="81" spans="1:5" x14ac:dyDescent="0.35">
      <c r="A81" s="59"/>
      <c r="B81" s="59"/>
      <c r="C81" s="59"/>
      <c r="D81" s="59"/>
      <c r="E81" s="59"/>
    </row>
    <row r="82" spans="1:5" x14ac:dyDescent="0.35">
      <c r="A82" s="59"/>
      <c r="B82" s="59"/>
      <c r="C82" s="59"/>
      <c r="D82" s="59"/>
      <c r="E82" s="59"/>
    </row>
  </sheetData>
  <mergeCells count="4">
    <mergeCell ref="A75:B75"/>
    <mergeCell ref="A74:B74"/>
    <mergeCell ref="A76:B76"/>
    <mergeCell ref="A73:B73"/>
  </mergeCells>
  <pageMargins left="0" right="0" top="0" bottom="0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BB31D-C16C-47FA-9A0A-F4E3AA3A15A7}">
  <dimension ref="B1:L18"/>
  <sheetViews>
    <sheetView topLeftCell="A3" workbookViewId="0">
      <selection activeCell="G20" sqref="G20"/>
    </sheetView>
  </sheetViews>
  <sheetFormatPr defaultRowHeight="14.5" x14ac:dyDescent="0.35"/>
  <cols>
    <col min="2" max="2" width="33.81640625" customWidth="1"/>
    <col min="3" max="3" width="16.453125" bestFit="1" customWidth="1"/>
    <col min="7" max="8" width="11.26953125" bestFit="1" customWidth="1"/>
    <col min="9" max="9" width="14.81640625" customWidth="1"/>
    <col min="10" max="12" width="12" bestFit="1" customWidth="1"/>
  </cols>
  <sheetData>
    <row r="1" spans="2:12" ht="15" thickBot="1" x14ac:dyDescent="0.4">
      <c r="J1" t="s">
        <v>145</v>
      </c>
    </row>
    <row r="2" spans="2:12" ht="15" thickBot="1" x14ac:dyDescent="0.4">
      <c r="B2" s="43" t="s">
        <v>130</v>
      </c>
      <c r="C2" s="44"/>
      <c r="F2" s="62" t="s">
        <v>133</v>
      </c>
      <c r="G2" s="74">
        <v>2022</v>
      </c>
      <c r="H2" s="74">
        <v>2023</v>
      </c>
      <c r="I2" s="74">
        <v>2024</v>
      </c>
      <c r="J2" s="74">
        <v>2022</v>
      </c>
      <c r="K2" s="74">
        <v>2023</v>
      </c>
      <c r="L2" s="75" t="s">
        <v>131</v>
      </c>
    </row>
    <row r="3" spans="2:12" x14ac:dyDescent="0.35">
      <c r="B3" s="45" t="s">
        <v>119</v>
      </c>
      <c r="C3" s="51">
        <v>7241938</v>
      </c>
      <c r="F3" s="63" t="s">
        <v>134</v>
      </c>
      <c r="G3" s="76">
        <v>1523459.8299999998</v>
      </c>
      <c r="H3" s="77">
        <v>1832505.58</v>
      </c>
      <c r="I3" s="78">
        <v>1894856.9</v>
      </c>
      <c r="J3" s="67">
        <v>6.2342161679148987E-2</v>
      </c>
      <c r="K3" s="67">
        <v>6.1436788650064439E-2</v>
      </c>
      <c r="L3" s="82">
        <v>7.1049104814206607E-2</v>
      </c>
    </row>
    <row r="4" spans="2:12" x14ac:dyDescent="0.35">
      <c r="B4" s="45" t="s">
        <v>120</v>
      </c>
      <c r="C4" s="51">
        <v>852053.14</v>
      </c>
      <c r="F4" s="63" t="s">
        <v>135</v>
      </c>
      <c r="G4" s="79">
        <v>1626265.51</v>
      </c>
      <c r="H4" s="65">
        <v>1856092.98</v>
      </c>
      <c r="I4" s="80">
        <v>1941631.17</v>
      </c>
      <c r="J4" s="67">
        <v>6.65491175816849E-2</v>
      </c>
      <c r="K4" s="67">
        <v>6.2227582481428664E-2</v>
      </c>
      <c r="L4" s="83">
        <v>6.810084497134071E-2</v>
      </c>
    </row>
    <row r="5" spans="2:12" x14ac:dyDescent="0.35">
      <c r="B5" s="45" t="s">
        <v>121</v>
      </c>
      <c r="C5" s="52">
        <v>0</v>
      </c>
      <c r="F5" s="63" t="s">
        <v>136</v>
      </c>
      <c r="G5" s="79">
        <v>1624422.87</v>
      </c>
      <c r="H5" s="65">
        <v>2163034.7200000002</v>
      </c>
      <c r="I5" s="80">
        <v>2532945.42</v>
      </c>
      <c r="J5" s="67">
        <v>6.6473714109578613E-2</v>
      </c>
      <c r="K5" s="67">
        <v>7.2518145857646613E-2</v>
      </c>
      <c r="L5" s="83">
        <v>6.9362613401202311E-2</v>
      </c>
    </row>
    <row r="6" spans="2:12" ht="15" thickBot="1" x14ac:dyDescent="0.4">
      <c r="B6" s="49" t="s">
        <v>122</v>
      </c>
      <c r="C6" s="53">
        <f>C4+C3</f>
        <v>8093991.1399999997</v>
      </c>
      <c r="F6" s="63" t="s">
        <v>137</v>
      </c>
      <c r="G6" s="79">
        <v>1324779.3900000001</v>
      </c>
      <c r="H6" s="65">
        <v>1404482.7400000002</v>
      </c>
      <c r="I6" s="80">
        <v>1494481.35</v>
      </c>
      <c r="J6" s="67">
        <v>5.421187306302943E-2</v>
      </c>
      <c r="K6" s="67">
        <v>4.7086846665996732E-2</v>
      </c>
      <c r="L6" s="83">
        <v>5.46967155317531E-2</v>
      </c>
    </row>
    <row r="7" spans="2:12" ht="15" thickBot="1" x14ac:dyDescent="0.4">
      <c r="B7" s="37"/>
      <c r="C7" s="54"/>
      <c r="F7" s="63" t="s">
        <v>138</v>
      </c>
      <c r="G7" s="79">
        <v>1777731.03</v>
      </c>
      <c r="H7" s="65">
        <v>1975693.2799999998</v>
      </c>
      <c r="I7" s="80">
        <v>1894482.34</v>
      </c>
      <c r="J7" s="67">
        <v>7.2747303940596891E-2</v>
      </c>
      <c r="K7" s="67">
        <v>6.6237315621550552E-2</v>
      </c>
      <c r="L7" s="83">
        <v>6.3808644300256984E-2</v>
      </c>
    </row>
    <row r="8" spans="2:12" x14ac:dyDescent="0.35">
      <c r="B8" s="47" t="s">
        <v>123</v>
      </c>
      <c r="C8" s="55"/>
      <c r="F8" s="63" t="s">
        <v>139</v>
      </c>
      <c r="G8" s="79">
        <v>2946700.4499999997</v>
      </c>
      <c r="H8" s="65">
        <v>3270738.5299999993</v>
      </c>
      <c r="I8" s="80">
        <v>3832612.08</v>
      </c>
      <c r="J8" s="67">
        <v>0.12058320951850833</v>
      </c>
      <c r="K8" s="67">
        <v>0.10965514866112025</v>
      </c>
      <c r="L8" s="83">
        <v>0.1236644469576981</v>
      </c>
    </row>
    <row r="9" spans="2:12" x14ac:dyDescent="0.35">
      <c r="B9" s="45" t="s">
        <v>149</v>
      </c>
      <c r="C9" s="51">
        <f>300000+300000</f>
        <v>600000</v>
      </c>
      <c r="F9" s="63" t="s">
        <v>140</v>
      </c>
      <c r="G9" s="79">
        <v>2999094.59</v>
      </c>
      <c r="H9" s="65">
        <v>4091953</v>
      </c>
      <c r="I9" s="80">
        <v>3790819.69</v>
      </c>
      <c r="J9" s="67">
        <v>0.12272725288781723</v>
      </c>
      <c r="K9" s="67">
        <v>0.13718727755633744</v>
      </c>
      <c r="L9" s="83">
        <v>0.115720548784729</v>
      </c>
    </row>
    <row r="10" spans="2:12" ht="15" thickBot="1" x14ac:dyDescent="0.4">
      <c r="B10" s="46" t="s">
        <v>125</v>
      </c>
      <c r="C10" s="56">
        <f>I13+I14</f>
        <v>6112479.6613380779</v>
      </c>
      <c r="F10" s="63" t="s">
        <v>141</v>
      </c>
      <c r="G10" s="79">
        <v>1752579.5999999999</v>
      </c>
      <c r="H10" s="65">
        <v>1891326</v>
      </c>
      <c r="I10" s="80">
        <v>1865349.09</v>
      </c>
      <c r="J10" s="67">
        <v>7.1718071344735276E-2</v>
      </c>
      <c r="K10" s="67">
        <v>6.340880868170222E-2</v>
      </c>
      <c r="L10" s="83">
        <v>6.9854341322520927E-2</v>
      </c>
    </row>
    <row r="11" spans="2:12" ht="15" thickBot="1" x14ac:dyDescent="0.4">
      <c r="B11" s="37"/>
      <c r="C11" s="39"/>
      <c r="F11" s="63" t="s">
        <v>142</v>
      </c>
      <c r="G11" s="79">
        <v>2430893.44</v>
      </c>
      <c r="H11" s="65">
        <v>3230000</v>
      </c>
      <c r="I11" s="80">
        <v>2239910.73</v>
      </c>
      <c r="J11" s="67">
        <v>9.9475646733174883E-2</v>
      </c>
      <c r="K11" s="67">
        <v>0.1082893441119607</v>
      </c>
      <c r="L11" s="83">
        <v>9.2486948658438775E-2</v>
      </c>
    </row>
    <row r="12" spans="2:12" ht="15" thickBot="1" x14ac:dyDescent="0.4">
      <c r="B12" s="48" t="s">
        <v>124</v>
      </c>
      <c r="C12" s="57">
        <f>SUM(C6:C10)</f>
        <v>14806470.801338078</v>
      </c>
      <c r="F12" s="63" t="s">
        <v>143</v>
      </c>
      <c r="G12" s="79">
        <v>1584530.57</v>
      </c>
      <c r="H12" s="65">
        <v>2073703.37</v>
      </c>
      <c r="I12" s="80">
        <v>2244902.6800000002</v>
      </c>
      <c r="J12" s="67">
        <v>6.4841263967225254E-2</v>
      </c>
      <c r="K12" s="67">
        <v>6.9523212947387794E-2</v>
      </c>
      <c r="L12" s="83">
        <v>6.644466766531934E-2</v>
      </c>
    </row>
    <row r="13" spans="2:12" ht="15" thickBot="1" x14ac:dyDescent="0.4">
      <c r="B13" s="37"/>
      <c r="C13" s="54"/>
      <c r="F13" s="63" t="s">
        <v>144</v>
      </c>
      <c r="G13" s="79">
        <v>1962204.3199999996</v>
      </c>
      <c r="H13" s="65">
        <v>2337356</v>
      </c>
      <c r="I13" s="85">
        <f>SUM(I3:I12)/SUM(L3:L12)*L13</f>
        <v>2217116.1028763377</v>
      </c>
      <c r="J13" s="67">
        <v>8.0296215598257406E-2</v>
      </c>
      <c r="K13" s="67">
        <v>7.836246074184397E-2</v>
      </c>
      <c r="L13" s="83">
        <v>7.4289006315613443E-2</v>
      </c>
    </row>
    <row r="14" spans="2:12" ht="15" thickBot="1" x14ac:dyDescent="0.4">
      <c r="B14" s="38" t="s">
        <v>150</v>
      </c>
      <c r="C14" s="58">
        <f>1500000*2</f>
        <v>3000000</v>
      </c>
      <c r="F14" s="68" t="s">
        <v>118</v>
      </c>
      <c r="G14" s="81">
        <v>2884409.3800000004</v>
      </c>
      <c r="H14" s="69">
        <v>3700610</v>
      </c>
      <c r="I14" s="86">
        <f>SUM(I3:I12)/SUM(L3:L12)*L14</f>
        <v>3895363.5584617397</v>
      </c>
      <c r="J14" s="70">
        <v>0.11803416957624274</v>
      </c>
      <c r="K14" s="70">
        <v>0.12406706802296065</v>
      </c>
      <c r="L14" s="84">
        <v>0.13052211727692067</v>
      </c>
    </row>
    <row r="15" spans="2:12" ht="15" thickBot="1" x14ac:dyDescent="0.4">
      <c r="B15" s="37"/>
      <c r="C15" s="39"/>
      <c r="F15" s="62" t="s">
        <v>89</v>
      </c>
      <c r="G15" s="71">
        <v>24437070.98</v>
      </c>
      <c r="H15" s="71">
        <v>29827496.199999999</v>
      </c>
      <c r="I15" s="71">
        <f>SUM(I3:I14)</f>
        <v>29844471.111338079</v>
      </c>
      <c r="J15" s="72">
        <f>SUM(J3:J14)</f>
        <v>1</v>
      </c>
      <c r="K15" s="72">
        <f>SUM(K3:K14)</f>
        <v>1</v>
      </c>
      <c r="L15" s="73">
        <f>SUM(L3:L14)</f>
        <v>0.99999999999999989</v>
      </c>
    </row>
    <row r="16" spans="2:12" ht="15" thickBot="1" x14ac:dyDescent="0.4">
      <c r="B16" s="48" t="s">
        <v>127</v>
      </c>
      <c r="C16" s="57">
        <f>C12-C14</f>
        <v>11806470.801338078</v>
      </c>
      <c r="I16" s="64" t="s">
        <v>132</v>
      </c>
    </row>
    <row r="17" spans="2:3" ht="15" thickBot="1" x14ac:dyDescent="0.4">
      <c r="B17" s="174" t="s">
        <v>164</v>
      </c>
      <c r="C17" s="175">
        <f>'Dotace 2025'!F7-50000</f>
        <v>1072445</v>
      </c>
    </row>
    <row r="18" spans="2:3" ht="15" thickBot="1" x14ac:dyDescent="0.4">
      <c r="B18" s="165" t="s">
        <v>89</v>
      </c>
      <c r="C18" s="176">
        <f>C16+C17</f>
        <v>12878915.801338078</v>
      </c>
    </row>
  </sheetData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B34C-E214-437C-94D4-63A769EA823B}">
  <dimension ref="B2:F131"/>
  <sheetViews>
    <sheetView topLeftCell="A88" zoomScale="115" zoomScaleNormal="115" workbookViewId="0">
      <selection activeCell="C131" sqref="C131"/>
    </sheetView>
  </sheetViews>
  <sheetFormatPr defaultRowHeight="14.5" x14ac:dyDescent="0.35"/>
  <cols>
    <col min="2" max="2" width="7.7265625" bestFit="1" customWidth="1"/>
    <col min="3" max="3" width="62" customWidth="1"/>
    <col min="4" max="4" width="14.54296875" customWidth="1"/>
    <col min="5" max="5" width="13.81640625" bestFit="1" customWidth="1"/>
    <col min="6" max="6" width="28.7265625" bestFit="1" customWidth="1"/>
    <col min="11" max="11" width="18.1796875" customWidth="1"/>
    <col min="13" max="13" width="12.81640625" bestFit="1" customWidth="1"/>
    <col min="14" max="14" width="14.26953125" customWidth="1"/>
    <col min="15" max="15" width="16" customWidth="1"/>
  </cols>
  <sheetData>
    <row r="2" spans="2:6" x14ac:dyDescent="0.35">
      <c r="B2" t="s">
        <v>81</v>
      </c>
      <c r="D2" t="s">
        <v>90</v>
      </c>
      <c r="E2" t="s">
        <v>218</v>
      </c>
      <c r="F2" t="s">
        <v>213</v>
      </c>
    </row>
    <row r="3" spans="2:6" x14ac:dyDescent="0.35">
      <c r="B3" s="103">
        <v>2212</v>
      </c>
      <c r="C3" s="103" t="s">
        <v>36</v>
      </c>
      <c r="D3" s="105"/>
      <c r="E3" s="104"/>
    </row>
    <row r="4" spans="2:6" x14ac:dyDescent="0.35">
      <c r="C4" s="121" t="s">
        <v>196</v>
      </c>
      <c r="D4" s="122">
        <v>100000</v>
      </c>
      <c r="E4" s="122"/>
    </row>
    <row r="5" spans="2:6" x14ac:dyDescent="0.35">
      <c r="C5" s="103" t="s">
        <v>89</v>
      </c>
      <c r="D5" s="105">
        <f>SUM(D4)</f>
        <v>100000</v>
      </c>
      <c r="E5" s="104"/>
    </row>
    <row r="6" spans="2:6" x14ac:dyDescent="0.35">
      <c r="D6" s="104"/>
      <c r="E6" s="104"/>
    </row>
    <row r="7" spans="2:6" x14ac:dyDescent="0.35">
      <c r="B7" s="103">
        <v>2219</v>
      </c>
      <c r="C7" s="103" t="s">
        <v>4</v>
      </c>
      <c r="D7" s="105"/>
      <c r="E7" s="104"/>
    </row>
    <row r="8" spans="2:6" x14ac:dyDescent="0.35">
      <c r="C8" s="118" t="s">
        <v>91</v>
      </c>
      <c r="D8" s="119">
        <v>700000</v>
      </c>
      <c r="E8" s="119"/>
      <c r="F8" t="s">
        <v>223</v>
      </c>
    </row>
    <row r="9" spans="2:6" x14ac:dyDescent="0.35">
      <c r="C9" s="121" t="s">
        <v>224</v>
      </c>
      <c r="D9" s="122">
        <v>350000</v>
      </c>
      <c r="E9" s="122"/>
    </row>
    <row r="10" spans="2:6" x14ac:dyDescent="0.35">
      <c r="C10" s="103" t="s">
        <v>89</v>
      </c>
      <c r="D10" s="105">
        <f>SUM(D8:D9)</f>
        <v>1050000</v>
      </c>
      <c r="E10" s="104"/>
    </row>
    <row r="11" spans="2:6" x14ac:dyDescent="0.35">
      <c r="D11" s="104"/>
      <c r="E11" s="104"/>
    </row>
    <row r="12" spans="2:6" x14ac:dyDescent="0.35">
      <c r="B12" s="103">
        <v>2310</v>
      </c>
      <c r="C12" s="103" t="s">
        <v>6</v>
      </c>
      <c r="D12" s="104"/>
      <c r="E12" s="104"/>
    </row>
    <row r="13" spans="2:6" x14ac:dyDescent="0.35">
      <c r="C13" s="108" t="s">
        <v>169</v>
      </c>
      <c r="D13" s="109">
        <v>290000</v>
      </c>
      <c r="E13" s="109"/>
    </row>
    <row r="14" spans="2:6" x14ac:dyDescent="0.35">
      <c r="C14" s="108" t="s">
        <v>225</v>
      </c>
      <c r="D14" s="109">
        <v>87000</v>
      </c>
      <c r="E14" s="109"/>
    </row>
    <row r="15" spans="2:6" x14ac:dyDescent="0.35">
      <c r="C15" s="106" t="s">
        <v>252</v>
      </c>
      <c r="D15" s="107">
        <v>1000000</v>
      </c>
      <c r="E15" s="107">
        <v>500000</v>
      </c>
      <c r="F15" t="s">
        <v>247</v>
      </c>
    </row>
    <row r="16" spans="2:6" x14ac:dyDescent="0.35">
      <c r="C16" s="108" t="s">
        <v>228</v>
      </c>
      <c r="D16" s="109">
        <v>100000</v>
      </c>
      <c r="E16" s="109"/>
    </row>
    <row r="17" spans="2:6" x14ac:dyDescent="0.35">
      <c r="C17" s="103" t="s">
        <v>89</v>
      </c>
      <c r="D17" s="105">
        <f>SUM(D13:D16)</f>
        <v>1477000</v>
      </c>
      <c r="E17" s="104"/>
    </row>
    <row r="18" spans="2:6" x14ac:dyDescent="0.35">
      <c r="D18" s="104"/>
      <c r="E18" s="104"/>
    </row>
    <row r="19" spans="2:6" x14ac:dyDescent="0.35">
      <c r="B19" s="103">
        <v>2321</v>
      </c>
      <c r="C19" s="103" t="s">
        <v>8</v>
      </c>
      <c r="D19" s="105"/>
      <c r="E19" s="104"/>
    </row>
    <row r="20" spans="2:6" x14ac:dyDescent="0.35">
      <c r="C20" s="108" t="s">
        <v>92</v>
      </c>
      <c r="D20" s="109">
        <v>1000000</v>
      </c>
      <c r="E20" s="109"/>
    </row>
    <row r="21" spans="2:6" x14ac:dyDescent="0.35">
      <c r="C21" s="106" t="s">
        <v>229</v>
      </c>
      <c r="D21" s="107">
        <v>1600000</v>
      </c>
      <c r="E21" s="107"/>
    </row>
    <row r="22" spans="2:6" x14ac:dyDescent="0.35">
      <c r="C22" s="108" t="s">
        <v>226</v>
      </c>
      <c r="D22" s="109">
        <v>12000</v>
      </c>
      <c r="E22" s="109"/>
    </row>
    <row r="23" spans="2:6" x14ac:dyDescent="0.35">
      <c r="C23" s="108" t="s">
        <v>168</v>
      </c>
      <c r="D23" s="109">
        <v>1000000</v>
      </c>
      <c r="E23" s="109"/>
    </row>
    <row r="24" spans="2:6" x14ac:dyDescent="0.35">
      <c r="C24" s="118" t="s">
        <v>201</v>
      </c>
      <c r="D24" s="119">
        <v>300000</v>
      </c>
      <c r="E24" s="119"/>
    </row>
    <row r="25" spans="2:6" x14ac:dyDescent="0.35">
      <c r="C25" s="106" t="s">
        <v>212</v>
      </c>
      <c r="D25" s="107">
        <v>3553770</v>
      </c>
      <c r="E25" s="107">
        <v>2665327.5</v>
      </c>
    </row>
    <row r="26" spans="2:6" x14ac:dyDescent="0.35">
      <c r="C26" s="103" t="s">
        <v>89</v>
      </c>
      <c r="D26" s="105">
        <f>SUM(D20:D25)</f>
        <v>7465770</v>
      </c>
      <c r="E26" s="104"/>
    </row>
    <row r="27" spans="2:6" x14ac:dyDescent="0.35">
      <c r="D27" s="104"/>
      <c r="E27" s="104"/>
    </row>
    <row r="28" spans="2:6" x14ac:dyDescent="0.35">
      <c r="B28" s="103">
        <v>3113</v>
      </c>
      <c r="C28" s="103" t="s">
        <v>44</v>
      </c>
      <c r="D28" s="105"/>
      <c r="E28" s="105"/>
      <c r="F28" t="s">
        <v>248</v>
      </c>
    </row>
    <row r="29" spans="2:6" x14ac:dyDescent="0.35">
      <c r="C29" s="106" t="s">
        <v>171</v>
      </c>
      <c r="D29" s="107">
        <v>2246418.52</v>
      </c>
      <c r="E29" s="107">
        <v>1313354.6000000001</v>
      </c>
    </row>
    <row r="30" spans="2:6" x14ac:dyDescent="0.35">
      <c r="C30" s="118" t="s">
        <v>172</v>
      </c>
      <c r="D30" s="119">
        <v>2000000</v>
      </c>
      <c r="E30" s="119"/>
    </row>
    <row r="31" spans="2:6" x14ac:dyDescent="0.35">
      <c r="C31" s="118" t="s">
        <v>173</v>
      </c>
      <c r="D31" s="119">
        <v>1000000</v>
      </c>
      <c r="E31" s="119"/>
    </row>
    <row r="32" spans="2:6" x14ac:dyDescent="0.35">
      <c r="C32" s="118" t="s">
        <v>174</v>
      </c>
      <c r="D32" s="119">
        <v>700000</v>
      </c>
      <c r="E32" s="119"/>
    </row>
    <row r="33" spans="2:5" x14ac:dyDescent="0.35">
      <c r="C33" s="118" t="s">
        <v>175</v>
      </c>
      <c r="D33" s="119">
        <v>2000000</v>
      </c>
      <c r="E33" s="119"/>
    </row>
    <row r="34" spans="2:5" x14ac:dyDescent="0.35">
      <c r="C34" s="106" t="s">
        <v>194</v>
      </c>
      <c r="D34" s="107">
        <v>400000</v>
      </c>
      <c r="E34" s="107"/>
    </row>
    <row r="35" spans="2:5" x14ac:dyDescent="0.35">
      <c r="C35" s="106" t="s">
        <v>93</v>
      </c>
      <c r="D35" s="107">
        <f>414486-69303</f>
        <v>345183</v>
      </c>
      <c r="E35" s="107"/>
    </row>
    <row r="36" spans="2:5" x14ac:dyDescent="0.35">
      <c r="C36" s="118" t="s">
        <v>195</v>
      </c>
      <c r="D36" s="119">
        <v>250000</v>
      </c>
      <c r="E36" s="119"/>
    </row>
    <row r="37" spans="2:5" x14ac:dyDescent="0.35">
      <c r="C37" s="118" t="s">
        <v>253</v>
      </c>
      <c r="D37" s="119">
        <v>702000</v>
      </c>
      <c r="E37" s="119"/>
    </row>
    <row r="38" spans="2:5" x14ac:dyDescent="0.35">
      <c r="C38" s="103" t="s">
        <v>89</v>
      </c>
      <c r="D38" s="105">
        <f>SUM(D29:D37)</f>
        <v>9643601.5199999996</v>
      </c>
      <c r="E38" s="104"/>
    </row>
    <row r="39" spans="2:5" x14ac:dyDescent="0.35">
      <c r="D39" s="104"/>
      <c r="E39" s="104"/>
    </row>
    <row r="40" spans="2:5" x14ac:dyDescent="0.35">
      <c r="B40">
        <v>3612</v>
      </c>
      <c r="C40" t="s">
        <v>16</v>
      </c>
      <c r="D40" s="104"/>
      <c r="E40" s="104"/>
    </row>
    <row r="41" spans="2:5" x14ac:dyDescent="0.35">
      <c r="C41" s="108" t="s">
        <v>189</v>
      </c>
      <c r="D41" s="109">
        <v>700000</v>
      </c>
      <c r="E41" s="109"/>
    </row>
    <row r="42" spans="2:5" x14ac:dyDescent="0.35">
      <c r="C42" s="121" t="s">
        <v>190</v>
      </c>
      <c r="D42" s="122">
        <v>1000000</v>
      </c>
      <c r="E42" s="122"/>
    </row>
    <row r="43" spans="2:5" x14ac:dyDescent="0.35">
      <c r="C43" s="118" t="s">
        <v>191</v>
      </c>
      <c r="D43" s="119">
        <v>500000</v>
      </c>
      <c r="E43" s="119"/>
    </row>
    <row r="44" spans="2:5" x14ac:dyDescent="0.35">
      <c r="C44" s="121" t="s">
        <v>200</v>
      </c>
      <c r="D44" s="122">
        <v>300000</v>
      </c>
      <c r="E44" s="122"/>
    </row>
    <row r="45" spans="2:5" x14ac:dyDescent="0.35">
      <c r="C45" s="108" t="s">
        <v>211</v>
      </c>
      <c r="D45" s="109">
        <v>1000000</v>
      </c>
      <c r="E45" s="109">
        <v>750000</v>
      </c>
    </row>
    <row r="46" spans="2:5" x14ac:dyDescent="0.35">
      <c r="C46" s="103" t="s">
        <v>89</v>
      </c>
      <c r="D46" s="105">
        <f>SUM(D41:D45)</f>
        <v>3500000</v>
      </c>
      <c r="E46" s="104"/>
    </row>
    <row r="47" spans="2:5" x14ac:dyDescent="0.35">
      <c r="D47" s="104"/>
      <c r="E47" s="104"/>
    </row>
    <row r="48" spans="2:5" x14ac:dyDescent="0.35">
      <c r="B48" s="103">
        <v>3631</v>
      </c>
      <c r="C48" s="103" t="s">
        <v>94</v>
      </c>
      <c r="D48" s="104"/>
      <c r="E48" s="104"/>
    </row>
    <row r="49" spans="3:6" x14ac:dyDescent="0.35">
      <c r="C49" s="103" t="s">
        <v>95</v>
      </c>
      <c r="D49" s="104"/>
      <c r="E49" s="104"/>
    </row>
    <row r="50" spans="3:6" x14ac:dyDescent="0.35">
      <c r="C50" s="108" t="s">
        <v>96</v>
      </c>
      <c r="D50" s="109">
        <v>120000</v>
      </c>
      <c r="E50" s="109"/>
      <c r="F50" t="s">
        <v>97</v>
      </c>
    </row>
    <row r="51" spans="3:6" x14ac:dyDescent="0.35">
      <c r="C51" s="118" t="s">
        <v>98</v>
      </c>
      <c r="D51" s="119">
        <v>120000</v>
      </c>
      <c r="E51" s="119"/>
      <c r="F51" t="s">
        <v>99</v>
      </c>
    </row>
    <row r="52" spans="3:6" x14ac:dyDescent="0.35">
      <c r="C52" s="118" t="s">
        <v>100</v>
      </c>
      <c r="D52" s="119">
        <v>120000</v>
      </c>
      <c r="E52" s="119"/>
      <c r="F52" t="s">
        <v>101</v>
      </c>
    </row>
    <row r="53" spans="3:6" x14ac:dyDescent="0.35">
      <c r="C53" s="108" t="s">
        <v>227</v>
      </c>
      <c r="D53" s="109">
        <v>120000</v>
      </c>
      <c r="E53" s="109"/>
      <c r="F53" t="s">
        <v>103</v>
      </c>
    </row>
    <row r="54" spans="3:6" x14ac:dyDescent="0.35">
      <c r="C54" s="108" t="s">
        <v>104</v>
      </c>
      <c r="D54" s="109">
        <v>120000</v>
      </c>
      <c r="E54" s="109"/>
      <c r="F54" t="s">
        <v>105</v>
      </c>
    </row>
    <row r="55" spans="3:6" x14ac:dyDescent="0.35">
      <c r="C55" s="108" t="s">
        <v>183</v>
      </c>
      <c r="D55" s="109">
        <v>120000</v>
      </c>
      <c r="E55" s="109"/>
      <c r="F55" t="s">
        <v>105</v>
      </c>
    </row>
    <row r="56" spans="3:6" x14ac:dyDescent="0.35">
      <c r="C56" s="108" t="s">
        <v>107</v>
      </c>
      <c r="D56" s="109">
        <v>120000</v>
      </c>
      <c r="E56" s="109"/>
      <c r="F56" t="s">
        <v>108</v>
      </c>
    </row>
    <row r="57" spans="3:6" x14ac:dyDescent="0.35">
      <c r="C57" s="108" t="s">
        <v>109</v>
      </c>
      <c r="D57" s="109">
        <v>50000</v>
      </c>
      <c r="E57" s="109"/>
    </row>
    <row r="58" spans="3:6" x14ac:dyDescent="0.35">
      <c r="C58" s="103" t="s">
        <v>110</v>
      </c>
      <c r="D58" s="104"/>
      <c r="E58" s="104"/>
      <c r="F58" t="s">
        <v>111</v>
      </c>
    </row>
    <row r="59" spans="3:6" x14ac:dyDescent="0.35">
      <c r="C59" s="108" t="s">
        <v>96</v>
      </c>
      <c r="D59" s="109">
        <f>8*50000</f>
        <v>400000</v>
      </c>
      <c r="E59" s="109"/>
    </row>
    <row r="60" spans="3:6" x14ac:dyDescent="0.35">
      <c r="C60" s="121" t="s">
        <v>98</v>
      </c>
      <c r="D60" s="122">
        <f>14*50000</f>
        <v>700000</v>
      </c>
      <c r="E60" s="122"/>
    </row>
    <row r="61" spans="3:6" x14ac:dyDescent="0.35">
      <c r="C61" s="121" t="s">
        <v>100</v>
      </c>
      <c r="D61" s="122">
        <f>10*50000</f>
        <v>500000</v>
      </c>
      <c r="E61" s="122"/>
    </row>
    <row r="62" spans="3:6" x14ac:dyDescent="0.35">
      <c r="C62" s="121" t="s">
        <v>102</v>
      </c>
      <c r="D62" s="122">
        <f>8*50000</f>
        <v>400000</v>
      </c>
      <c r="E62" s="122"/>
    </row>
    <row r="63" spans="3:6" x14ac:dyDescent="0.35">
      <c r="C63" s="108" t="s">
        <v>104</v>
      </c>
      <c r="D63" s="109">
        <f>7*50000</f>
        <v>350000</v>
      </c>
      <c r="E63" s="109"/>
    </row>
    <row r="64" spans="3:6" x14ac:dyDescent="0.35">
      <c r="C64" s="108" t="s">
        <v>106</v>
      </c>
      <c r="D64" s="109">
        <f>7*50000</f>
        <v>350000</v>
      </c>
      <c r="E64" s="109"/>
    </row>
    <row r="65" spans="2:6" x14ac:dyDescent="0.35">
      <c r="C65" s="108" t="s">
        <v>107</v>
      </c>
      <c r="D65" s="109">
        <f>8*50000</f>
        <v>400000</v>
      </c>
      <c r="E65" s="109"/>
    </row>
    <row r="66" spans="2:6" x14ac:dyDescent="0.35">
      <c r="C66" s="108" t="s">
        <v>112</v>
      </c>
      <c r="D66" s="109">
        <f>1550*1000</f>
        <v>1550000</v>
      </c>
      <c r="E66" s="109"/>
    </row>
    <row r="67" spans="2:6" x14ac:dyDescent="0.35">
      <c r="C67" s="108" t="s">
        <v>109</v>
      </c>
      <c r="D67" s="109">
        <v>200000</v>
      </c>
      <c r="E67" s="109"/>
    </row>
    <row r="68" spans="2:6" x14ac:dyDescent="0.35">
      <c r="C68" s="103" t="s">
        <v>89</v>
      </c>
      <c r="D68" s="105">
        <f>SUM(D50:D67)</f>
        <v>5740000</v>
      </c>
      <c r="E68" s="104"/>
    </row>
    <row r="69" spans="2:6" x14ac:dyDescent="0.35">
      <c r="D69" s="104"/>
      <c r="E69" s="104"/>
    </row>
    <row r="70" spans="2:6" x14ac:dyDescent="0.35">
      <c r="B70" s="103">
        <v>3635</v>
      </c>
      <c r="C70" s="103" t="s">
        <v>62</v>
      </c>
      <c r="D70" s="105"/>
      <c r="E70" s="104"/>
    </row>
    <row r="71" spans="2:6" x14ac:dyDescent="0.35">
      <c r="C71" s="108" t="s">
        <v>170</v>
      </c>
      <c r="D71" s="109">
        <v>300000</v>
      </c>
      <c r="E71" s="109"/>
    </row>
    <row r="72" spans="2:6" x14ac:dyDescent="0.35">
      <c r="C72" s="110" t="s">
        <v>89</v>
      </c>
      <c r="D72" s="111">
        <f>SUM(D71:D71)</f>
        <v>300000</v>
      </c>
      <c r="E72" s="109"/>
    </row>
    <row r="73" spans="2:6" x14ac:dyDescent="0.35">
      <c r="D73" s="104"/>
      <c r="E73" s="104"/>
    </row>
    <row r="74" spans="2:6" x14ac:dyDescent="0.35">
      <c r="B74" s="103">
        <v>3636</v>
      </c>
      <c r="C74" s="103" t="s">
        <v>64</v>
      </c>
      <c r="D74" s="105"/>
      <c r="E74" s="104"/>
    </row>
    <row r="75" spans="2:6" x14ac:dyDescent="0.35">
      <c r="C75" s="106" t="s">
        <v>113</v>
      </c>
      <c r="D75" s="107">
        <f>725395-362643.05-161223</f>
        <v>201528.95</v>
      </c>
      <c r="E75" s="107"/>
      <c r="F75" t="s">
        <v>249</v>
      </c>
    </row>
    <row r="76" spans="2:6" x14ac:dyDescent="0.35">
      <c r="C76" s="106" t="s">
        <v>231</v>
      </c>
      <c r="D76" s="107">
        <v>250000</v>
      </c>
      <c r="E76" s="107"/>
    </row>
    <row r="77" spans="2:6" x14ac:dyDescent="0.35">
      <c r="C77" s="106" t="s">
        <v>230</v>
      </c>
      <c r="D77" s="107">
        <v>310000</v>
      </c>
      <c r="E77" s="107"/>
    </row>
    <row r="78" spans="2:6" x14ac:dyDescent="0.35">
      <c r="C78" s="103" t="s">
        <v>89</v>
      </c>
      <c r="D78" s="105">
        <f>SUM(D75:D77)</f>
        <v>761528.95</v>
      </c>
      <c r="E78" s="104"/>
    </row>
    <row r="79" spans="2:6" x14ac:dyDescent="0.35">
      <c r="D79" s="104"/>
      <c r="E79" s="104"/>
    </row>
    <row r="80" spans="2:6" x14ac:dyDescent="0.35">
      <c r="B80" s="103">
        <v>3723</v>
      </c>
      <c r="C80" s="103" t="s">
        <v>68</v>
      </c>
      <c r="D80" s="104"/>
      <c r="E80" s="104"/>
    </row>
    <row r="81" spans="2:6" x14ac:dyDescent="0.35">
      <c r="C81" s="106" t="s">
        <v>192</v>
      </c>
      <c r="D81" s="107">
        <v>200000</v>
      </c>
      <c r="E81" s="107"/>
    </row>
    <row r="82" spans="2:6" x14ac:dyDescent="0.35">
      <c r="C82" s="121" t="s">
        <v>193</v>
      </c>
      <c r="D82" s="122">
        <v>1000000</v>
      </c>
      <c r="E82" s="122"/>
    </row>
    <row r="83" spans="2:6" x14ac:dyDescent="0.35">
      <c r="C83" s="103" t="s">
        <v>89</v>
      </c>
      <c r="D83" s="105">
        <f>SUM(D81:D82)</f>
        <v>1200000</v>
      </c>
      <c r="E83" s="104"/>
    </row>
    <row r="84" spans="2:6" x14ac:dyDescent="0.35">
      <c r="D84" s="104"/>
      <c r="E84" s="104"/>
    </row>
    <row r="85" spans="2:6" x14ac:dyDescent="0.35">
      <c r="B85" s="103">
        <v>3745</v>
      </c>
      <c r="C85" s="103" t="s">
        <v>26</v>
      </c>
      <c r="D85" s="104"/>
      <c r="E85" s="104"/>
    </row>
    <row r="86" spans="2:6" x14ac:dyDescent="0.35">
      <c r="C86" s="106" t="s">
        <v>185</v>
      </c>
      <c r="D86" s="107">
        <f>1017000*1</f>
        <v>1017000</v>
      </c>
      <c r="E86" s="106"/>
      <c r="F86" s="104" t="s">
        <v>184</v>
      </c>
    </row>
    <row r="87" spans="2:6" x14ac:dyDescent="0.35">
      <c r="C87" s="118" t="s">
        <v>186</v>
      </c>
      <c r="D87" s="119">
        <v>400000</v>
      </c>
      <c r="E87" s="119"/>
    </row>
    <row r="88" spans="2:6" x14ac:dyDescent="0.35">
      <c r="C88" s="106" t="s">
        <v>187</v>
      </c>
      <c r="D88" s="107">
        <v>2565679</v>
      </c>
      <c r="E88" s="107">
        <v>571273</v>
      </c>
    </row>
    <row r="89" spans="2:6" x14ac:dyDescent="0.35">
      <c r="C89" s="108" t="s">
        <v>188</v>
      </c>
      <c r="D89" s="109">
        <v>3000000</v>
      </c>
      <c r="E89" s="109"/>
    </row>
    <row r="90" spans="2:6" x14ac:dyDescent="0.35">
      <c r="C90" s="121" t="s">
        <v>197</v>
      </c>
      <c r="D90" s="122">
        <v>150000</v>
      </c>
      <c r="E90" s="122"/>
    </row>
    <row r="91" spans="2:6" x14ac:dyDescent="0.35">
      <c r="C91" s="121" t="s">
        <v>198</v>
      </c>
      <c r="D91" s="122">
        <v>200000</v>
      </c>
      <c r="E91" s="122"/>
    </row>
    <row r="92" spans="2:6" x14ac:dyDescent="0.35">
      <c r="C92" s="106" t="s">
        <v>209</v>
      </c>
      <c r="D92" s="107">
        <v>850000</v>
      </c>
      <c r="E92" s="107">
        <v>600000</v>
      </c>
    </row>
    <row r="93" spans="2:6" x14ac:dyDescent="0.35">
      <c r="C93" s="106" t="s">
        <v>221</v>
      </c>
      <c r="D93" s="107">
        <v>220000</v>
      </c>
      <c r="E93" s="107"/>
    </row>
    <row r="94" spans="2:6" x14ac:dyDescent="0.35">
      <c r="C94" s="106" t="s">
        <v>222</v>
      </c>
      <c r="D94" s="107">
        <v>300000</v>
      </c>
      <c r="E94" s="107">
        <v>300000</v>
      </c>
    </row>
    <row r="95" spans="2:6" x14ac:dyDescent="0.35">
      <c r="C95" s="103" t="s">
        <v>89</v>
      </c>
      <c r="D95" s="105">
        <f>SUM(D86:D94)</f>
        <v>8702679</v>
      </c>
      <c r="E95" s="104"/>
    </row>
    <row r="96" spans="2:6" x14ac:dyDescent="0.35">
      <c r="D96" s="104"/>
      <c r="E96" s="104"/>
    </row>
    <row r="97" spans="2:6" x14ac:dyDescent="0.35">
      <c r="B97" s="103">
        <v>5512</v>
      </c>
      <c r="C97" s="103" t="s">
        <v>76</v>
      </c>
      <c r="D97" s="105"/>
      <c r="E97" s="104"/>
    </row>
    <row r="98" spans="2:6" x14ac:dyDescent="0.35">
      <c r="C98" s="108" t="s">
        <v>210</v>
      </c>
      <c r="D98" s="109">
        <v>800000</v>
      </c>
      <c r="E98" s="109">
        <v>475000</v>
      </c>
      <c r="F98" t="s">
        <v>208</v>
      </c>
    </row>
    <row r="99" spans="2:6" x14ac:dyDescent="0.35">
      <c r="C99" s="120" t="s">
        <v>220</v>
      </c>
      <c r="D99" s="109">
        <v>450000</v>
      </c>
      <c r="E99" s="109">
        <v>300000</v>
      </c>
    </row>
    <row r="100" spans="2:6" x14ac:dyDescent="0.35">
      <c r="C100" s="103" t="s">
        <v>89</v>
      </c>
      <c r="D100" s="105">
        <f>SUM(D98:D99)</f>
        <v>1250000</v>
      </c>
      <c r="E100" s="104"/>
    </row>
    <row r="101" spans="2:6" x14ac:dyDescent="0.35">
      <c r="D101" s="104"/>
      <c r="E101" s="104"/>
    </row>
    <row r="102" spans="2:6" x14ac:dyDescent="0.35">
      <c r="B102" s="103">
        <v>6171</v>
      </c>
      <c r="C102" s="103" t="s">
        <v>28</v>
      </c>
      <c r="E102" s="104"/>
    </row>
    <row r="103" spans="2:6" x14ac:dyDescent="0.35">
      <c r="C103" s="106" t="s">
        <v>239</v>
      </c>
      <c r="D103" s="107">
        <f>37200000/15</f>
        <v>2480000</v>
      </c>
      <c r="E103" s="107"/>
    </row>
    <row r="104" spans="2:6" x14ac:dyDescent="0.35">
      <c r="C104" s="106" t="s">
        <v>126</v>
      </c>
      <c r="D104" s="107">
        <v>500000</v>
      </c>
      <c r="E104" s="107"/>
    </row>
    <row r="105" spans="2:6" x14ac:dyDescent="0.35">
      <c r="C105" s="118" t="s">
        <v>199</v>
      </c>
      <c r="D105" s="119">
        <v>500000</v>
      </c>
      <c r="E105" s="119"/>
    </row>
    <row r="106" spans="2:6" x14ac:dyDescent="0.35">
      <c r="C106" s="103" t="s">
        <v>89</v>
      </c>
      <c r="D106" s="105">
        <f>SUM(D103:D105)</f>
        <v>3480000</v>
      </c>
      <c r="E106" s="104"/>
    </row>
    <row r="107" spans="2:6" x14ac:dyDescent="0.35">
      <c r="D107" s="104"/>
      <c r="E107" s="104"/>
    </row>
    <row r="108" spans="2:6" x14ac:dyDescent="0.35">
      <c r="D108" s="104" t="s">
        <v>216</v>
      </c>
      <c r="E108" s="104" t="s">
        <v>217</v>
      </c>
    </row>
    <row r="109" spans="2:6" x14ac:dyDescent="0.35">
      <c r="C109" s="103" t="s">
        <v>214</v>
      </c>
      <c r="D109" s="105">
        <f>D5+D10+D17+D26+D38+D46+D68+D72+D78+D83+D95+D100+D106</f>
        <v>44670579.469999999</v>
      </c>
      <c r="E109" s="105">
        <f>SUM(E4:E106)</f>
        <v>7474955.0999999996</v>
      </c>
    </row>
    <row r="110" spans="2:6" x14ac:dyDescent="0.35">
      <c r="C110" s="112" t="s">
        <v>234</v>
      </c>
      <c r="D110" s="113">
        <f>D15+D21+D25+D34+D29+D35+D75+D76+D77+D81+D86+D88+D92+D93+D94+D103+D104</f>
        <v>18039579.469999999</v>
      </c>
      <c r="E110" s="113">
        <f>E15+E21+E25+E34+E29+E35+E75+E76+E77+E81+E86+E88+E92+E93+E94+E103+E104</f>
        <v>5949955.0999999996</v>
      </c>
    </row>
    <row r="111" spans="2:6" x14ac:dyDescent="0.35">
      <c r="C111" s="110" t="s">
        <v>235</v>
      </c>
      <c r="D111" s="111">
        <f>D13+D14+D16+D20+D22+D23+D41+D45+D50+D53+D54+D55+D56+D57+D59+D63+D64+D65+D66+D67+D71+D89+D98+D99</f>
        <v>12639000</v>
      </c>
      <c r="E111" s="111">
        <f>E13+E14+E16+E20+E22+E45+E50+E53+E54+E55+E56+E59+E63+E64+E65+E66+E67+E71+E89+E98+E99</f>
        <v>1525000</v>
      </c>
    </row>
    <row r="112" spans="2:6" x14ac:dyDescent="0.35">
      <c r="C112" s="114" t="s">
        <v>236</v>
      </c>
      <c r="D112" s="115">
        <f>D8+D24+D30+D31+D32+D33+D36+D43+D51+D52+D87+D105+D37</f>
        <v>9292000</v>
      </c>
      <c r="E112" s="115"/>
    </row>
    <row r="113" spans="3:5" x14ac:dyDescent="0.35">
      <c r="C113" s="116" t="s">
        <v>237</v>
      </c>
      <c r="D113" s="117">
        <f>D4+D9+D42+D44+D60+D61+D62+D82+D90+D91</f>
        <v>4700000</v>
      </c>
      <c r="E113" s="117"/>
    </row>
    <row r="114" spans="3:5" x14ac:dyDescent="0.35">
      <c r="C114" s="103" t="s">
        <v>246</v>
      </c>
      <c r="D114" s="105">
        <f>SUM(D110:D113)</f>
        <v>44670579.469999999</v>
      </c>
      <c r="E114" s="105"/>
    </row>
    <row r="115" spans="3:5" x14ac:dyDescent="0.35">
      <c r="D115" s="104"/>
      <c r="E115" s="104"/>
    </row>
    <row r="116" spans="3:5" x14ac:dyDescent="0.35">
      <c r="D116" s="104"/>
      <c r="E116" s="104"/>
    </row>
    <row r="117" spans="3:5" x14ac:dyDescent="0.35">
      <c r="D117" s="104"/>
      <c r="E117" s="104"/>
    </row>
    <row r="118" spans="3:5" x14ac:dyDescent="0.35">
      <c r="C118" t="s">
        <v>114</v>
      </c>
      <c r="D118" s="104"/>
      <c r="E118" s="104"/>
    </row>
    <row r="119" spans="3:5" x14ac:dyDescent="0.35">
      <c r="C119" t="s">
        <v>207</v>
      </c>
    </row>
    <row r="120" spans="3:5" x14ac:dyDescent="0.35">
      <c r="C120" t="s">
        <v>206</v>
      </c>
    </row>
    <row r="121" spans="3:5" x14ac:dyDescent="0.35">
      <c r="C121" t="s">
        <v>205</v>
      </c>
    </row>
    <row r="122" spans="3:5" x14ac:dyDescent="0.35">
      <c r="C122" t="s">
        <v>204</v>
      </c>
    </row>
    <row r="123" spans="3:5" x14ac:dyDescent="0.35">
      <c r="C123" t="s">
        <v>203</v>
      </c>
    </row>
    <row r="124" spans="3:5" x14ac:dyDescent="0.35">
      <c r="C124" t="s">
        <v>116</v>
      </c>
    </row>
    <row r="125" spans="3:5" x14ac:dyDescent="0.35">
      <c r="C125" t="s">
        <v>117</v>
      </c>
    </row>
    <row r="126" spans="3:5" x14ac:dyDescent="0.35">
      <c r="C126" t="s">
        <v>202</v>
      </c>
    </row>
    <row r="127" spans="3:5" x14ac:dyDescent="0.35">
      <c r="C127" t="s">
        <v>250</v>
      </c>
    </row>
    <row r="128" spans="3:5" x14ac:dyDescent="0.35">
      <c r="C128" t="s">
        <v>251</v>
      </c>
    </row>
    <row r="129" spans="3:3" x14ac:dyDescent="0.35">
      <c r="C129" t="s">
        <v>115</v>
      </c>
    </row>
    <row r="130" spans="3:3" x14ac:dyDescent="0.35">
      <c r="C130" t="s">
        <v>215</v>
      </c>
    </row>
    <row r="131" spans="3:3" x14ac:dyDescent="0.35">
      <c r="C131" t="s">
        <v>254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37E38-F989-4B21-B991-764912FF071C}">
  <dimension ref="B1:J28"/>
  <sheetViews>
    <sheetView workbookViewId="0">
      <selection activeCell="K23" sqref="K23"/>
    </sheetView>
  </sheetViews>
  <sheetFormatPr defaultRowHeight="14.5" x14ac:dyDescent="0.35"/>
  <cols>
    <col min="2" max="2" width="41.1796875" customWidth="1"/>
    <col min="3" max="3" width="17.26953125" customWidth="1"/>
    <col min="4" max="4" width="34.81640625" bestFit="1" customWidth="1"/>
    <col min="5" max="5" width="14.1796875" bestFit="1" customWidth="1"/>
    <col min="6" max="6" width="16.26953125" customWidth="1"/>
  </cols>
  <sheetData>
    <row r="1" spans="2:10" ht="15" thickBot="1" x14ac:dyDescent="0.4">
      <c r="B1" s="66"/>
      <c r="C1" s="66"/>
      <c r="D1" s="66"/>
      <c r="E1" s="66"/>
      <c r="F1" s="66"/>
      <c r="G1" s="66"/>
      <c r="H1" s="66"/>
      <c r="I1" s="66"/>
      <c r="J1" s="66"/>
    </row>
    <row r="2" spans="2:10" ht="15" thickBot="1" x14ac:dyDescent="0.4">
      <c r="B2" s="133" t="s">
        <v>242</v>
      </c>
      <c r="C2" s="124" t="s">
        <v>153</v>
      </c>
      <c r="D2" s="125" t="s">
        <v>110</v>
      </c>
      <c r="E2" s="125" t="s">
        <v>151</v>
      </c>
      <c r="F2" s="126" t="s">
        <v>152</v>
      </c>
      <c r="G2" s="66"/>
      <c r="H2" s="66"/>
      <c r="I2" s="66"/>
      <c r="J2" s="66"/>
    </row>
    <row r="3" spans="2:10" x14ac:dyDescent="0.35">
      <c r="B3" s="138" t="s">
        <v>129</v>
      </c>
      <c r="C3" s="43" t="s">
        <v>159</v>
      </c>
      <c r="D3" s="139" t="s">
        <v>161</v>
      </c>
      <c r="E3" s="140" t="s">
        <v>158</v>
      </c>
      <c r="F3" s="141">
        <v>147570</v>
      </c>
      <c r="G3" s="66"/>
      <c r="H3" s="66"/>
      <c r="I3" s="66"/>
      <c r="J3" s="66"/>
    </row>
    <row r="4" spans="2:10" x14ac:dyDescent="0.35">
      <c r="B4" s="135" t="s">
        <v>240</v>
      </c>
      <c r="C4" s="45" t="s">
        <v>157</v>
      </c>
      <c r="D4" s="42" t="s">
        <v>161</v>
      </c>
      <c r="E4" s="42" t="s">
        <v>165</v>
      </c>
      <c r="F4" s="123">
        <v>164596</v>
      </c>
      <c r="G4" s="66"/>
      <c r="H4" s="66"/>
      <c r="I4" s="66"/>
      <c r="J4" s="66"/>
    </row>
    <row r="5" spans="2:10" x14ac:dyDescent="0.35">
      <c r="B5" s="135" t="s">
        <v>241</v>
      </c>
      <c r="C5" s="45" t="s">
        <v>157</v>
      </c>
      <c r="D5" s="42" t="s">
        <v>161</v>
      </c>
      <c r="E5" s="42" t="s">
        <v>158</v>
      </c>
      <c r="F5" s="123">
        <v>352352</v>
      </c>
      <c r="G5" s="66"/>
      <c r="H5" s="66"/>
      <c r="I5" s="66"/>
      <c r="J5" s="66"/>
    </row>
    <row r="6" spans="2:10" ht="15" thickBot="1" x14ac:dyDescent="0.4">
      <c r="B6" s="152" t="s">
        <v>128</v>
      </c>
      <c r="C6" s="151" t="s">
        <v>157</v>
      </c>
      <c r="D6" s="153" t="s">
        <v>161</v>
      </c>
      <c r="E6" s="154" t="s">
        <v>158</v>
      </c>
      <c r="F6" s="155">
        <v>457927</v>
      </c>
      <c r="G6" s="66"/>
      <c r="H6" s="66"/>
      <c r="I6" s="66"/>
      <c r="J6" s="66"/>
    </row>
    <row r="7" spans="2:10" ht="15" thickBot="1" x14ac:dyDescent="0.4">
      <c r="B7" s="62" t="s">
        <v>89</v>
      </c>
      <c r="C7" s="159"/>
      <c r="D7" s="156"/>
      <c r="E7" s="157"/>
      <c r="F7" s="158">
        <f>SUM(F3:F6)</f>
        <v>1122445</v>
      </c>
      <c r="G7" s="66"/>
      <c r="H7" s="66"/>
      <c r="I7" s="66"/>
      <c r="J7" s="66"/>
    </row>
    <row r="8" spans="2:10" ht="15" thickBot="1" x14ac:dyDescent="0.4">
      <c r="B8" s="66"/>
      <c r="C8" s="61"/>
      <c r="D8" s="66"/>
      <c r="E8" s="88"/>
      <c r="F8" s="88"/>
      <c r="G8" s="66"/>
      <c r="H8" s="66"/>
      <c r="I8" s="66"/>
      <c r="J8" s="66"/>
    </row>
    <row r="9" spans="2:10" ht="15" thickBot="1" x14ac:dyDescent="0.4">
      <c r="B9" s="133" t="s">
        <v>160</v>
      </c>
      <c r="C9" s="150"/>
      <c r="D9" s="143"/>
      <c r="E9" s="144"/>
      <c r="F9" s="145"/>
      <c r="G9" s="66"/>
      <c r="H9" s="66"/>
      <c r="I9" s="66"/>
      <c r="J9" s="66"/>
    </row>
    <row r="10" spans="2:10" x14ac:dyDescent="0.35">
      <c r="B10" s="138" t="s">
        <v>154</v>
      </c>
      <c r="C10" s="43" t="s">
        <v>146</v>
      </c>
      <c r="D10" s="148">
        <v>45838</v>
      </c>
      <c r="E10" s="139">
        <v>2246418.52</v>
      </c>
      <c r="F10" s="141">
        <v>1313354.6000000001</v>
      </c>
      <c r="G10" s="61"/>
      <c r="H10" s="66"/>
      <c r="I10" s="66"/>
      <c r="J10" s="66"/>
    </row>
    <row r="11" spans="2:10" x14ac:dyDescent="0.35">
      <c r="B11" s="135" t="s">
        <v>155</v>
      </c>
      <c r="C11" s="45" t="s">
        <v>147</v>
      </c>
      <c r="D11" s="89">
        <v>45838</v>
      </c>
      <c r="E11" s="42">
        <v>2565679</v>
      </c>
      <c r="F11" s="123">
        <v>571273</v>
      </c>
      <c r="G11" s="61"/>
      <c r="H11" s="66"/>
      <c r="I11" s="66"/>
      <c r="J11" s="66"/>
    </row>
    <row r="12" spans="2:10" x14ac:dyDescent="0.35">
      <c r="B12" s="135" t="s">
        <v>244</v>
      </c>
      <c r="C12" s="45" t="s">
        <v>147</v>
      </c>
      <c r="D12" s="89">
        <v>46022</v>
      </c>
      <c r="E12" s="42">
        <v>702000</v>
      </c>
      <c r="F12" s="123">
        <v>537600</v>
      </c>
      <c r="G12" s="61"/>
      <c r="H12" s="66"/>
      <c r="I12" s="66"/>
      <c r="J12" s="66"/>
    </row>
    <row r="13" spans="2:10" ht="15" thickBot="1" x14ac:dyDescent="0.4">
      <c r="B13" s="136" t="s">
        <v>243</v>
      </c>
      <c r="C13" s="46" t="s">
        <v>147</v>
      </c>
      <c r="D13" s="149">
        <v>46022</v>
      </c>
      <c r="E13" s="131">
        <v>850000</v>
      </c>
      <c r="F13" s="132">
        <v>600000</v>
      </c>
      <c r="G13" s="41"/>
    </row>
    <row r="14" spans="2:10" ht="15" thickBot="1" x14ac:dyDescent="0.4">
      <c r="B14" s="137" t="s">
        <v>89</v>
      </c>
      <c r="C14" s="127"/>
      <c r="D14" s="146"/>
      <c r="E14" s="128">
        <f>SUM(E10:E13)</f>
        <v>6364097.5199999996</v>
      </c>
      <c r="F14" s="147">
        <f>SUM(F10:F13)</f>
        <v>3022227.6</v>
      </c>
      <c r="G14" s="41"/>
    </row>
    <row r="15" spans="2:10" ht="15" thickBot="1" x14ac:dyDescent="0.4">
      <c r="D15" s="87"/>
      <c r="E15" s="41"/>
      <c r="F15" s="41"/>
      <c r="G15" s="41"/>
    </row>
    <row r="16" spans="2:10" ht="15" thickBot="1" x14ac:dyDescent="0.4">
      <c r="B16" s="124" t="s">
        <v>162</v>
      </c>
      <c r="C16" s="143"/>
      <c r="D16" s="143"/>
      <c r="E16" s="142"/>
      <c r="F16" s="161"/>
      <c r="G16" s="41"/>
    </row>
    <row r="17" spans="2:7" x14ac:dyDescent="0.35">
      <c r="B17" s="43" t="s">
        <v>166</v>
      </c>
      <c r="C17" s="129" t="s">
        <v>148</v>
      </c>
      <c r="D17" s="148">
        <v>46022</v>
      </c>
      <c r="E17" s="139">
        <v>1000000</v>
      </c>
      <c r="F17" s="141">
        <v>750000</v>
      </c>
      <c r="G17" s="41"/>
    </row>
    <row r="18" spans="2:7" x14ac:dyDescent="0.35">
      <c r="B18" s="45" t="s">
        <v>167</v>
      </c>
      <c r="C18" s="40" t="s">
        <v>148</v>
      </c>
      <c r="D18" s="89">
        <v>46022</v>
      </c>
      <c r="E18" s="42">
        <v>3553770</v>
      </c>
      <c r="F18" s="160">
        <v>2665327.5</v>
      </c>
      <c r="G18" s="41"/>
    </row>
    <row r="19" spans="2:7" x14ac:dyDescent="0.35">
      <c r="B19" s="45" t="s">
        <v>156</v>
      </c>
      <c r="C19" s="40" t="s">
        <v>148</v>
      </c>
      <c r="D19" s="89">
        <v>45838</v>
      </c>
      <c r="E19" s="42">
        <v>520000</v>
      </c>
      <c r="F19" s="123">
        <v>475000</v>
      </c>
    </row>
    <row r="20" spans="2:7" ht="15" thickBot="1" x14ac:dyDescent="0.4">
      <c r="B20" s="151" t="s">
        <v>163</v>
      </c>
      <c r="C20" s="164" t="s">
        <v>148</v>
      </c>
      <c r="D20" s="164"/>
      <c r="E20" s="153">
        <v>22000000</v>
      </c>
      <c r="F20" s="155">
        <v>10000000</v>
      </c>
    </row>
    <row r="21" spans="2:7" ht="15" thickBot="1" x14ac:dyDescent="0.4">
      <c r="B21" s="165" t="s">
        <v>89</v>
      </c>
      <c r="C21" s="166"/>
      <c r="D21" s="166"/>
      <c r="E21" s="167">
        <f>SUM(E17:E20)</f>
        <v>27073770</v>
      </c>
      <c r="F21" s="168">
        <f>SUM(F17:F20)</f>
        <v>13890327.5</v>
      </c>
    </row>
    <row r="22" spans="2:7" ht="15" thickBot="1" x14ac:dyDescent="0.4"/>
    <row r="23" spans="2:7" x14ac:dyDescent="0.35">
      <c r="B23" s="134" t="s">
        <v>219</v>
      </c>
      <c r="C23" s="43"/>
      <c r="D23" s="129"/>
      <c r="E23" s="129"/>
      <c r="F23" s="44"/>
    </row>
    <row r="24" spans="2:7" x14ac:dyDescent="0.35">
      <c r="B24" s="135" t="s">
        <v>233</v>
      </c>
      <c r="C24" s="162" t="s">
        <v>245</v>
      </c>
      <c r="D24" s="40">
        <v>2025</v>
      </c>
      <c r="E24" s="42">
        <v>350000</v>
      </c>
      <c r="F24" s="123">
        <v>300000</v>
      </c>
    </row>
    <row r="25" spans="2:7" ht="15" thickBot="1" x14ac:dyDescent="0.4">
      <c r="B25" s="136" t="s">
        <v>232</v>
      </c>
      <c r="C25" s="163" t="s">
        <v>245</v>
      </c>
      <c r="D25" s="130">
        <v>2025</v>
      </c>
      <c r="E25" s="131">
        <v>400000</v>
      </c>
      <c r="F25" s="132">
        <v>300000</v>
      </c>
    </row>
    <row r="26" spans="2:7" ht="15" thickBot="1" x14ac:dyDescent="0.4">
      <c r="B26" s="169" t="s">
        <v>89</v>
      </c>
      <c r="C26" s="169"/>
      <c r="D26" s="170"/>
      <c r="E26" s="171">
        <f>SUM(E24:E25)</f>
        <v>750000</v>
      </c>
      <c r="F26" s="172">
        <f>SUM(F24:F25)</f>
        <v>600000</v>
      </c>
    </row>
    <row r="28" spans="2:7" x14ac:dyDescent="0.35">
      <c r="B28" t="s">
        <v>255</v>
      </c>
    </row>
  </sheetData>
  <phoneticPr fontId="13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F365D4A020E54B827AB826EB362101" ma:contentTypeVersion="13" ma:contentTypeDescription="Vytvoří nový dokument" ma:contentTypeScope="" ma:versionID="74ad4f14982bf0156736515296f856ef">
  <xsd:schema xmlns:xsd="http://www.w3.org/2001/XMLSchema" xmlns:xs="http://www.w3.org/2001/XMLSchema" xmlns:p="http://schemas.microsoft.com/office/2006/metadata/properties" xmlns:ns2="67a8b9e8-0533-4354-95f5-a9f81803f0e1" xmlns:ns3="5df14910-f9c9-4e9d-8dff-1054d53a958d" targetNamespace="http://schemas.microsoft.com/office/2006/metadata/properties" ma:root="true" ma:fieldsID="df09627ee654275e5d0e2190e768b917" ns2:_="" ns3:_="">
    <xsd:import namespace="67a8b9e8-0533-4354-95f5-a9f81803f0e1"/>
    <xsd:import namespace="5df14910-f9c9-4e9d-8dff-1054d53a95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8b9e8-0533-4354-95f5-a9f81803f0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ac4c69e-5a71-4431-80c5-4ed940e33b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14910-f9c9-4e9d-8dff-1054d53a95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0dcc40-6cc6-49aa-b0c9-d146088393cd}" ma:internalName="TaxCatchAll" ma:showField="CatchAllData" ma:web="5df14910-f9c9-4e9d-8dff-1054d53a95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a8b9e8-0533-4354-95f5-a9f81803f0e1">
      <Terms xmlns="http://schemas.microsoft.com/office/infopath/2007/PartnerControls"/>
    </lcf76f155ced4ddcb4097134ff3c332f>
    <TaxCatchAll xmlns="5df14910-f9c9-4e9d-8dff-1054d53a958d" xsi:nil="true"/>
  </documentManagement>
</p:properties>
</file>

<file path=customXml/itemProps1.xml><?xml version="1.0" encoding="utf-8"?>
<ds:datastoreItem xmlns:ds="http://schemas.openxmlformats.org/officeDocument/2006/customXml" ds:itemID="{677C2024-019F-43BD-B040-438C000274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8b9e8-0533-4354-95f5-a9f81803f0e1"/>
    <ds:schemaRef ds:uri="5df14910-f9c9-4e9d-8dff-1054d53a95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3AA055-A23A-4806-977C-321A1E33DD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105B91-D931-4BD5-8C64-661EB82FFD84}">
  <ds:schemaRefs>
    <ds:schemaRef ds:uri="http://schemas.microsoft.com/office/2006/metadata/properties"/>
    <ds:schemaRef ds:uri="http://schemas.microsoft.com/office/infopath/2007/PartnerControls"/>
    <ds:schemaRef ds:uri="67a8b9e8-0533-4354-95f5-a9f81803f0e1"/>
    <ds:schemaRef ds:uri="5df14910-f9c9-4e9d-8dff-1054d53a958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Návrh rozpočtu obce na rok 2025</vt:lpstr>
      <vt:lpstr>Stav financí na konci roku 2024</vt:lpstr>
      <vt:lpstr>Investice 2025</vt:lpstr>
      <vt:lpstr>Dotace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2023-11-27T21:13:16Z</dcterms:created>
  <dcterms:modified xsi:type="dcterms:W3CDTF">2024-11-19T08:34:21Z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0x0101000BF365D4A020E54B827AB826EB362101</vt:lpwstr>
  </property>
  <property fmtid="{D5CDD505-2E9C-101B-9397-08002B2CF9AE}" pid="3" name="MediaServiceImageTags">
    <vt:lpwstr/>
  </property>
</Properties>
</file>